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tgage Calc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<sst xmlns="http://schemas.openxmlformats.org/spreadsheetml/2006/main" count="32" uniqueCount="32">
  <si>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🇨🇦  HomeCalc.ca — Free Canadian Mortgage Calculator</t>
  </si>
  <si>
    <t xml:space="preserve">Free Canadian Real Estate Calculators  •  homecalc.ca</t>
  </si>
  <si>
    <t xml:space="preserve">🔗  Online calculator: homecalc.ca/tools/mortgage-payment-calculator   |   Speak with a mortgage advisor: homecalc.ca</t>
  </si>
  <si>
    <t xml:space="preserve">⚠️  DISCLAIMER</t>
  </si>
  <si>
    <t xml:space="preserve">For informational purposes only. Results are estimates and may differ from lender quotes. Not financial or mortgage advice. CMHC rates and amortization rules may change — verify at CMHC.ca. Always consult a licensed mortgage professional before making financial decisions.</t>
  </si>
  <si>
    <t xml:space="preserve">  INPUTS  (edit yellow cells only)</t>
  </si>
  <si>
    <t xml:space="preserve">Home Price</t>
  </si>
  <si>
    <t xml:space="preserve">Down Payment %</t>
  </si>
  <si>
    <t xml:space="preserve">Annual Interest Rate</t>
  </si>
  <si>
    <t xml:space="preserve">Amortization (years)</t>
  </si>
  <si>
    <t xml:space="preserve">Payment Frequency</t>
  </si>
  <si>
    <t xml:space="preserve">Monthly</t>
  </si>
  <si>
    <t xml:space="preserve">  CALCULATED  (do not edit)</t>
  </si>
  <si>
    <t xml:space="preserve">Down Payment Amount</t>
  </si>
  <si>
    <t xml:space="preserve">CMHC Premium</t>
  </si>
  <si>
    <t xml:space="preserve">Insured Mortgage Amount</t>
  </si>
  <si>
    <t xml:space="preserve">Effective Monthly Rate (Canadian)</t>
  </si>
  <si>
    <t xml:space="preserve">Number of Payments</t>
  </si>
  <si>
    <t xml:space="preserve">  PAYMENT SUMMARY</t>
  </si>
  <si>
    <t xml:space="preserve">Payment Amount</t>
  </si>
  <si>
    <t xml:space="preserve">Total Interest Paid</t>
  </si>
  <si>
    <t xml:space="preserve">Total Mortgage Cost</t>
  </si>
  <si>
    <t xml:space="preserve">Canadian formula used: =PMT(((1+rate/2)^(1/6))-1, months, −principal)</t>
  </si>
  <si>
    <t xml:space="preserve">  AMORTIZATION SCHEDULE  (monthly — scroll to see all periods)</t>
  </si>
  <si>
    <t xml:space="preserve">Period</t>
  </si>
  <si>
    <t xml:space="preserve">Date</t>
  </si>
  <si>
    <t xml:space="preserve">Opening Balance</t>
  </si>
  <si>
    <t xml:space="preserve">Payment</t>
  </si>
  <si>
    <t xml:space="preserve">Interest</t>
  </si>
  <si>
    <t xml:space="preserve">Principal</t>
  </si>
  <si>
    <t xml:space="preserve">Closing Balance</t>
  </si>
  <si>
    <t xml:space="preserve">© HomeCalc.ca  |  homecalc.ca/tools/mortgage-payment-calculator  |  For informational purposes only — not financial advice.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</si>
</sst>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0.0%"/>
    <numFmt numFmtId="167" formatCode="0.000%"/>
    <numFmt numFmtId="168" formatCode="0"/>
    <numFmt numFmtId="169" formatCode="0.00000%"/>
    <numFmt numFmtId="170" formatCode="\$#,##0.00"/>
    <numFmt numFmtId="171" formatCode="mmm\-yy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1F4E79"/>
      <name val="Arial"/>
      <family val="0"/>
      <charset val="1"/>
    </font>
    <font>
      <b val="true"/>
      <sz val="9"/>
      <color rgb="FF7F3F00"/>
      <name val="Arial"/>
      <family val="0"/>
      <charset val="1"/>
    </font>
    <font>
      <i val="true"/>
      <sz val="9"/>
      <color rgb="FF7F3F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8B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i val="true"/>
      <sz val="9"/>
      <color rgb="FF375623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4E79"/>
        <bgColor rgb="FF2F5496"/>
      </patternFill>
    </fill>
    <fill>
      <patternFill patternType="solid">
        <fgColor rgb="FFDDEEFF"/>
        <bgColor rgb="FFE2EFDA"/>
      </patternFill>
    </fill>
    <fill>
      <patternFill patternType="solid">
        <fgColor rgb="FFFFF2CC"/>
        <bgColor rgb="FFF2F2F2"/>
      </patternFill>
    </fill>
    <fill>
      <patternFill patternType="solid">
        <fgColor rgb="FF2F5496"/>
        <bgColor rgb="FF1F4E79"/>
      </patternFill>
    </fill>
    <fill>
      <patternFill patternType="solid">
        <fgColor rgb="FFFFFF00"/>
        <bgColor rgb="FFFFFF00"/>
      </patternFill>
    </fill>
    <fill>
      <patternFill patternType="solid">
        <fgColor rgb="FF375623"/>
        <bgColor rgb="FF595959"/>
      </patternFill>
    </fill>
    <fill>
      <patternFill patternType="solid">
        <fgColor rgb="FFD9D9D9"/>
        <bgColor rgb="FFCCCCCC"/>
      </patternFill>
    </fill>
    <fill>
      <patternFill patternType="solid">
        <fgColor rgb="FF7030A0"/>
        <bgColor rgb="FF993366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F4E79"/>
      </bottom>
      <diagonal/>
    </border>
    <border diagonalUp="false" diagonalDown="false">
      <left style="medium">
        <color rgb="FFF0A500"/>
      </left>
      <right/>
      <top style="medium">
        <color rgb="FFF0A500"/>
      </top>
      <bottom/>
      <diagonal/>
    </border>
    <border diagonalUp="false" diagonalDown="false">
      <left style="medium">
        <color rgb="FFF0A500"/>
      </left>
      <right/>
      <top/>
      <bottom style="medium">
        <color rgb="FFF0A500"/>
      </bottom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8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8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8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9" fillId="1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1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11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11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008080"/>
      <rgbColor rgb="FFCCCCCC"/>
      <rgbColor rgb="FF808080"/>
      <rgbColor rgb="FF9999FF"/>
      <rgbColor rgb="FF7030A0"/>
      <rgbColor rgb="FFFFF2CC"/>
      <rgbColor rgb="FFDDEE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0A500"/>
      <rgbColor rgb="FFFF6600"/>
      <rgbColor rgb="FF595959"/>
      <rgbColor rgb="FF999999"/>
      <rgbColor rgb="FF1F4E79"/>
      <rgbColor rgb="FF339966"/>
      <rgbColor rgb="FF003300"/>
      <rgbColor rgb="FF333300"/>
      <rgbColor rgb="FF7F3F00"/>
      <rgbColor rgb="FF993366"/>
      <rgbColor rgb="FF2F5496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2"/>
  <sheetViews>
    <sheetView showFormulas="false" showGridLines="true" showRowColHeaders="true" showZeros="true" rightToLeft="false" tabSelected="true" showOutlineSymbols="true" defaultGridColor="true" view="normal" topLeftCell="A30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6" min="4" style="0" width="14"/>
    <col collapsed="false" customWidth="true" hidden="false" outlineLevel="0" max="7" min="7" style="0" width="18"/>
  </cols>
  <sheetData>
    <row r="1" customFormat="false" ht="36" hidden="false" customHeight="true" outlineLevel="0" collapsed="false">
      <c r="A1" s="1" t="s">
        <v>0</v>
      </c>
      <c r="B1" s="1"/>
    </row>
    <row r="2" customFormat="false" ht="19.5" hidden="false" customHeight="true" outlineLevel="0" collapsed="false">
      <c r="A2" s="2" t="s">
        <v>1</v>
      </c>
      <c r="B2" s="2"/>
    </row>
    <row r="3" customFormat="false" ht="19.5" hidden="false" customHeight="true" outlineLevel="0" collapsed="false">
      <c r="A3" s="3" t="s">
        <v>2</v>
      </c>
      <c r="B3" s="3"/>
    </row>
    <row r="4" customFormat="false" ht="18" hidden="false" customHeight="true" outlineLevel="0" collapsed="false">
      <c r="A4" s="4" t="s">
        <v>3</v>
      </c>
      <c r="B4" s="4"/>
    </row>
    <row r="5" customFormat="false" ht="43.5" hidden="false" customHeight="true" outlineLevel="0" collapsed="false">
      <c r="A5" s="5" t="s">
        <v>4</v>
      </c>
      <c r="B5" s="5"/>
    </row>
    <row r="6" customFormat="false" ht="6" hidden="false" customHeight="true" outlineLevel="0" collapsed="false"/>
    <row r="7" customFormat="false" ht="19.5" hidden="false" customHeight="true" outlineLevel="0" collapsed="false">
      <c r="A7" s="6" t="s">
        <v>5</v>
      </c>
      <c r="B7" s="6"/>
    </row>
    <row r="8" customFormat="false" ht="15" hidden="false" customHeight="false" outlineLevel="0" collapsed="false">
      <c r="A8" s="7" t="s">
        <v>6</v>
      </c>
      <c r="B8" s="8" t="n">
        <v>500000</v>
      </c>
    </row>
    <row r="9" customFormat="false" ht="15" hidden="false" customHeight="false" outlineLevel="0" collapsed="false">
      <c r="A9" s="7" t="s">
        <v>7</v>
      </c>
      <c r="B9" s="9" t="n">
        <v>0.1</v>
      </c>
    </row>
    <row r="10" customFormat="false" ht="15" hidden="false" customHeight="false" outlineLevel="0" collapsed="false">
      <c r="A10" s="7" t="s">
        <v>8</v>
      </c>
      <c r="B10" s="10" t="n">
        <v>0.0499</v>
      </c>
    </row>
    <row r="11" customFormat="false" ht="15" hidden="false" customHeight="false" outlineLevel="0" collapsed="false">
      <c r="A11" s="7" t="s">
        <v>9</v>
      </c>
      <c r="B11" s="11" t="n">
        <v>25</v>
      </c>
    </row>
    <row r="12" customFormat="false" ht="15" hidden="false" customHeight="false" outlineLevel="0" collapsed="false">
      <c r="A12" s="7" t="s">
        <v>10</v>
      </c>
      <c r="B12" s="12" t="s">
        <v>11</v>
      </c>
    </row>
    <row r="13" customFormat="false" ht="6" hidden="false" customHeight="true" outlineLevel="0" collapsed="false"/>
    <row r="14" customFormat="false" ht="19.5" hidden="false" customHeight="true" outlineLevel="0" collapsed="false">
      <c r="A14" s="13" t="s">
        <v>12</v>
      </c>
      <c r="B14" s="13"/>
    </row>
    <row r="15" customFormat="false" ht="15" hidden="false" customHeight="false" outlineLevel="0" collapsed="false">
      <c r="A15" s="7" t="s">
        <v>13</v>
      </c>
      <c r="B15" s="14" t="n">
        <f aca="false">B8*B9</f>
        <v>50000</v>
      </c>
    </row>
    <row r="16" customFormat="false" ht="15" hidden="false" customHeight="false" outlineLevel="0" collapsed="false">
      <c r="A16" s="7" t="s">
        <v>14</v>
      </c>
      <c r="B16" s="14" t="n">
        <f aca="false">IF(B9&gt;=0.2,0,IF(B9&lt;0.05,"Need ≥5% down",IF(B9&lt;0.1,(B8-B15)*0.04,IF(B9&lt;0.15,(B8-B15)*0.031,(B8-B15)*0.028))))</f>
        <v>13950</v>
      </c>
    </row>
    <row r="17" customFormat="false" ht="15" hidden="false" customHeight="false" outlineLevel="0" collapsed="false">
      <c r="A17" s="7" t="s">
        <v>15</v>
      </c>
      <c r="B17" s="14" t="n">
        <f aca="false">IF(ISNUMBER(B16),B8-B15+B16,B8-B15)</f>
        <v>463950</v>
      </c>
    </row>
    <row r="18" customFormat="false" ht="15" hidden="false" customHeight="false" outlineLevel="0" collapsed="false">
      <c r="A18" s="7" t="s">
        <v>16</v>
      </c>
      <c r="B18" s="15" t="n">
        <f aca="false">((1+B10/2)^(1/6))-1</f>
        <v>0.00411575169014355</v>
      </c>
    </row>
    <row r="19" customFormat="false" ht="15" hidden="false" customHeight="false" outlineLevel="0" collapsed="false">
      <c r="A19" s="7" t="s">
        <v>17</v>
      </c>
      <c r="B19" s="16" t="n">
        <f aca="false">IF(B12="Monthly",B11*12,B11*26)</f>
        <v>300</v>
      </c>
    </row>
    <row r="20" customFormat="false" ht="6" hidden="false" customHeight="true" outlineLevel="0" collapsed="false"/>
    <row r="21" customFormat="false" ht="19.5" hidden="false" customHeight="true" outlineLevel="0" collapsed="false">
      <c r="A21" s="17" t="s">
        <v>18</v>
      </c>
      <c r="B21" s="17"/>
    </row>
    <row r="22" customFormat="false" ht="15" hidden="false" customHeight="false" outlineLevel="0" collapsed="false">
      <c r="A22" s="7" t="s">
        <v>19</v>
      </c>
      <c r="B22" s="18" t="n">
        <f aca="false">IF(B12="Monthly",PMT(B18,B11*12,-B17),IF(B12="Bi-Weekly",PMT(B18,B11*12,-B17)*12/26,PMT(B18,B11*12,-B17)/2))</f>
        <v>2695.71580825401</v>
      </c>
    </row>
    <row r="23" customFormat="false" ht="15" hidden="false" customHeight="false" outlineLevel="0" collapsed="false">
      <c r="A23" s="7" t="s">
        <v>20</v>
      </c>
      <c r="B23" s="19" t="n">
        <f aca="false">IF(B12="Monthly",B22*B11*12-B17,B22*B19-B17)</f>
        <v>344764.742476203</v>
      </c>
    </row>
    <row r="24" customFormat="false" ht="15" hidden="false" customHeight="false" outlineLevel="0" collapsed="false">
      <c r="A24" s="7" t="s">
        <v>21</v>
      </c>
      <c r="B24" s="19" t="n">
        <f aca="false">B17+B23</f>
        <v>808714.742476203</v>
      </c>
    </row>
    <row r="25" customFormat="false" ht="15" hidden="false" customHeight="false" outlineLevel="0" collapsed="false">
      <c r="A25" s="20" t="str">
        <f aca="false">IF(B12="Monthly","Monthly payment shown","  "&amp;B12&amp;" payment shown")</f>
        <v>Monthly payment shown</v>
      </c>
      <c r="B25" s="20"/>
    </row>
    <row r="26" customFormat="false" ht="15" hidden="false" customHeight="false" outlineLevel="0" collapsed="false">
      <c r="A26" s="21" t="s">
        <v>22</v>
      </c>
      <c r="B26" s="21"/>
    </row>
    <row r="27" customFormat="false" ht="9.75" hidden="false" customHeight="true" outlineLevel="0" collapsed="false"/>
    <row r="28" customFormat="false" ht="19.5" hidden="false" customHeight="true" outlineLevel="0" collapsed="false">
      <c r="A28" s="22" t="s">
        <v>23</v>
      </c>
      <c r="B28" s="22"/>
      <c r="C28" s="22"/>
      <c r="D28" s="22"/>
      <c r="E28" s="22"/>
      <c r="F28" s="22"/>
      <c r="G28" s="22"/>
    </row>
    <row r="29" customFormat="false" ht="18" hidden="false" customHeight="true" outlineLevel="0" collapsed="false">
      <c r="A29" s="23" t="s">
        <v>24</v>
      </c>
      <c r="B29" s="23" t="s">
        <v>25</v>
      </c>
      <c r="C29" s="23" t="s">
        <v>26</v>
      </c>
      <c r="D29" s="23" t="s">
        <v>27</v>
      </c>
      <c r="E29" s="23" t="s">
        <v>28</v>
      </c>
      <c r="F29" s="23" t="s">
        <v>29</v>
      </c>
      <c r="G29" s="23" t="s">
        <v>30</v>
      </c>
    </row>
    <row r="30" customFormat="false" ht="15" hidden="false" customHeight="false" outlineLevel="0" collapsed="false">
      <c r="A30" s="24" t="n">
        <f aca="false">IF(1&lt;=$B$11*12,1,"")</f>
        <v>1</v>
      </c>
      <c r="B30" s="25" t="n">
        <f aca="true">IF(1&lt;=$B$11*12,DATE(YEAR(TODAY()),MONTH(TODAY())+1,1),"")</f>
        <v>46143</v>
      </c>
      <c r="C30" s="26" t="n">
        <f aca="false">IF(1&lt;=$B$11*12,$B$17,"")</f>
        <v>463950</v>
      </c>
      <c r="D30" s="26" t="n">
        <f aca="false">IF(1&lt;=$B$11*12,MIN($B$22,C30*(1+$B$18)),"")</f>
        <v>2695.71580825401</v>
      </c>
      <c r="E30" s="26" t="n">
        <f aca="false">IF(1&lt;=$B$11*12,C30*$B$18,"")</f>
        <v>1909.5029966421</v>
      </c>
      <c r="F30" s="26" t="n">
        <f aca="false">IF(1&lt;=$B$11*12,D30-E30,"")</f>
        <v>786.212811611906</v>
      </c>
      <c r="G30" s="26" t="n">
        <f aca="false">IF(1&lt;=$B$11*12,MAX(C30-F30,0),"")</f>
        <v>463163.787188388</v>
      </c>
    </row>
    <row r="31" customFormat="false" ht="15" hidden="false" customHeight="false" outlineLevel="0" collapsed="false">
      <c r="A31" s="27" t="n">
        <f aca="false">IF(2&lt;=$B$11*12,2,"")</f>
        <v>2</v>
      </c>
      <c r="B31" s="28" t="n">
        <f aca="true">IF(2&lt;=$B$11*12,DATE(YEAR(TODAY()),MONTH(TODAY())+2,1),"")</f>
        <v>46174</v>
      </c>
      <c r="C31" s="29" t="n">
        <f aca="false">IF(2&lt;=$B$11*12,G30,"")</f>
        <v>463163.787188388</v>
      </c>
      <c r="D31" s="29" t="n">
        <f aca="false">IF(AND(2&lt;=$B$11*12,G30&gt;0),MIN($B$22,C31*(1+$B$18)),"")</f>
        <v>2695.71580825401</v>
      </c>
      <c r="E31" s="29" t="n">
        <f aca="false">IF(AND(2&lt;=$B$11*12,G30&gt;0),C31*$B$18,"")</f>
        <v>1906.2671399339</v>
      </c>
      <c r="F31" s="29" t="n">
        <f aca="false">IF(AND(2&lt;=$B$11*12,G30&gt;0),D31-E31,"")</f>
        <v>789.44866832011</v>
      </c>
      <c r="G31" s="29" t="n">
        <f aca="false">IF(AND(2&lt;=$B$11*12,G30&gt;0),MAX(C31-F31,0),"")</f>
        <v>462374.338520068</v>
      </c>
    </row>
    <row r="32" customFormat="false" ht="15" hidden="false" customHeight="false" outlineLevel="0" collapsed="false">
      <c r="A32" s="24" t="n">
        <f aca="false">IF(3&lt;=$B$11*12,3,"")</f>
        <v>3</v>
      </c>
      <c r="B32" s="25" t="n">
        <f aca="true">IF(3&lt;=$B$11*12,DATE(YEAR(TODAY()),MONTH(TODAY())+3,1),"")</f>
        <v>46204</v>
      </c>
      <c r="C32" s="26" t="n">
        <f aca="false">IF(3&lt;=$B$11*12,G31,"")</f>
        <v>462374.338520068</v>
      </c>
      <c r="D32" s="26" t="n">
        <f aca="false">IF(AND(3&lt;=$B$11*12,G31&gt;0),MIN($B$22,C32*(1+$B$18)),"")</f>
        <v>2695.71580825401</v>
      </c>
      <c r="E32" s="26" t="n">
        <f aca="false">IF(AND(3&lt;=$B$11*12,G31&gt;0),C32*$B$18,"")</f>
        <v>1903.01796524298</v>
      </c>
      <c r="F32" s="26" t="n">
        <f aca="false">IF(AND(3&lt;=$B$11*12,G31&gt;0),D32-E32,"")</f>
        <v>792.697843011031</v>
      </c>
      <c r="G32" s="26" t="n">
        <f aca="false">IF(AND(3&lt;=$B$11*12,G31&gt;0),MAX(C32-F32,0),"")</f>
        <v>461581.640677057</v>
      </c>
    </row>
    <row r="33" customFormat="false" ht="15" hidden="false" customHeight="false" outlineLevel="0" collapsed="false">
      <c r="A33" s="27" t="n">
        <f aca="false">IF(4&lt;=$B$11*12,4,"")</f>
        <v>4</v>
      </c>
      <c r="B33" s="28" t="n">
        <f aca="true">IF(4&lt;=$B$11*12,DATE(YEAR(TODAY()),MONTH(TODAY())+4,1),"")</f>
        <v>46235</v>
      </c>
      <c r="C33" s="29" t="n">
        <f aca="false">IF(4&lt;=$B$11*12,G32,"")</f>
        <v>461581.640677057</v>
      </c>
      <c r="D33" s="29" t="n">
        <f aca="false">IF(AND(4&lt;=$B$11*12,G32&gt;0),MIN($B$22,C33*(1+$B$18)),"")</f>
        <v>2695.71580825401</v>
      </c>
      <c r="E33" s="29" t="n">
        <f aca="false">IF(AND(4&lt;=$B$11*12,G32&gt;0),C33*$B$18,"")</f>
        <v>1899.75541775583</v>
      </c>
      <c r="F33" s="29" t="n">
        <f aca="false">IF(AND(4&lt;=$B$11*12,G32&gt;0),D33-E33,"")</f>
        <v>795.960390498176</v>
      </c>
      <c r="G33" s="29" t="n">
        <f aca="false">IF(AND(4&lt;=$B$11*12,G32&gt;0),MAX(C33-F33,0),"")</f>
        <v>460785.680286559</v>
      </c>
    </row>
    <row r="34" customFormat="false" ht="15" hidden="false" customHeight="false" outlineLevel="0" collapsed="false">
      <c r="A34" s="24" t="n">
        <f aca="false">IF(5&lt;=$B$11*12,5,"")</f>
        <v>5</v>
      </c>
      <c r="B34" s="25" t="n">
        <f aca="true">IF(5&lt;=$B$11*12,DATE(YEAR(TODAY()),MONTH(TODAY())+5,1),"")</f>
        <v>46266</v>
      </c>
      <c r="C34" s="26" t="n">
        <f aca="false">IF(5&lt;=$B$11*12,G33,"")</f>
        <v>460785.680286559</v>
      </c>
      <c r="D34" s="26" t="n">
        <f aca="false">IF(AND(5&lt;=$B$11*12,G33&gt;0),MIN($B$22,C34*(1+$B$18)),"")</f>
        <v>2695.71580825401</v>
      </c>
      <c r="E34" s="26" t="n">
        <f aca="false">IF(AND(5&lt;=$B$11*12,G33&gt;0),C34*$B$18,"")</f>
        <v>1896.47944243335</v>
      </c>
      <c r="F34" s="26" t="n">
        <f aca="false">IF(AND(5&lt;=$B$11*12,G33&gt;0),D34-E34,"")</f>
        <v>799.236365820656</v>
      </c>
      <c r="G34" s="26" t="n">
        <f aca="false">IF(AND(5&lt;=$B$11*12,G33&gt;0),MAX(C34-F34,0),"")</f>
        <v>459986.443920738</v>
      </c>
    </row>
    <row r="35" customFormat="false" ht="15" hidden="false" customHeight="false" outlineLevel="0" collapsed="false">
      <c r="A35" s="27" t="n">
        <f aca="false">IF(6&lt;=$B$11*12,6,"")</f>
        <v>6</v>
      </c>
      <c r="B35" s="28" t="n">
        <f aca="true">IF(6&lt;=$B$11*12,DATE(YEAR(TODAY()),MONTH(TODAY())+6,1),"")</f>
        <v>46296</v>
      </c>
      <c r="C35" s="29" t="n">
        <f aca="false">IF(6&lt;=$B$11*12,G34,"")</f>
        <v>459986.443920738</v>
      </c>
      <c r="D35" s="29" t="n">
        <f aca="false">IF(AND(6&lt;=$B$11*12,G34&gt;0),MIN($B$22,C35*(1+$B$18)),"")</f>
        <v>2695.71580825401</v>
      </c>
      <c r="E35" s="29" t="n">
        <f aca="false">IF(AND(6&lt;=$B$11*12,G34&gt;0),C35*$B$18,"")</f>
        <v>1893.1899840099</v>
      </c>
      <c r="F35" s="29" t="n">
        <f aca="false">IF(AND(6&lt;=$B$11*12,G34&gt;0),D35-E35,"")</f>
        <v>802.525824244107</v>
      </c>
      <c r="G35" s="29" t="n">
        <f aca="false">IF(AND(6&lt;=$B$11*12,G34&gt;0),MAX(C35-F35,0),"")</f>
        <v>459183.918096494</v>
      </c>
    </row>
    <row r="36" customFormat="false" ht="15" hidden="false" customHeight="false" outlineLevel="0" collapsed="false">
      <c r="A36" s="24" t="n">
        <f aca="false">IF(7&lt;=$B$11*12,7,"")</f>
        <v>7</v>
      </c>
      <c r="B36" s="25" t="n">
        <f aca="true">IF(7&lt;=$B$11*12,DATE(YEAR(TODAY()),MONTH(TODAY())+7,1),"")</f>
        <v>46327</v>
      </c>
      <c r="C36" s="26" t="n">
        <f aca="false">IF(7&lt;=$B$11*12,G35,"")</f>
        <v>459183.918096494</v>
      </c>
      <c r="D36" s="26" t="n">
        <f aca="false">IF(AND(7&lt;=$B$11*12,G35&gt;0),MIN($B$22,C36*(1+$B$18)),"")</f>
        <v>2695.71580825401</v>
      </c>
      <c r="E36" s="26" t="n">
        <f aca="false">IF(AND(7&lt;=$B$11*12,G35&gt;0),C36*$B$18,"")</f>
        <v>1889.88698699238</v>
      </c>
      <c r="F36" s="26" t="n">
        <f aca="false">IF(AND(7&lt;=$B$11*12,G35&gt;0),D36-E36,"")</f>
        <v>805.828821261624</v>
      </c>
      <c r="G36" s="26" t="n">
        <f aca="false">IF(AND(7&lt;=$B$11*12,G35&gt;0),MAX(C36-F36,0),"")</f>
        <v>458378.089275232</v>
      </c>
    </row>
    <row r="37" customFormat="false" ht="15" hidden="false" customHeight="false" outlineLevel="0" collapsed="false">
      <c r="A37" s="27" t="n">
        <f aca="false">IF(8&lt;=$B$11*12,8,"")</f>
        <v>8</v>
      </c>
      <c r="B37" s="28" t="n">
        <f aca="true">IF(8&lt;=$B$11*12,DATE(YEAR(TODAY()),MONTH(TODAY())+8,1),"")</f>
        <v>46357</v>
      </c>
      <c r="C37" s="29" t="n">
        <f aca="false">IF(8&lt;=$B$11*12,G36,"")</f>
        <v>458378.089275232</v>
      </c>
      <c r="D37" s="29" t="n">
        <f aca="false">IF(AND(8&lt;=$B$11*12,G36&gt;0),MIN($B$22,C37*(1+$B$18)),"")</f>
        <v>2695.71580825401</v>
      </c>
      <c r="E37" s="29" t="n">
        <f aca="false">IF(AND(8&lt;=$B$11*12,G36&gt;0),C37*$B$18,"")</f>
        <v>1886.57039565931</v>
      </c>
      <c r="F37" s="29" t="n">
        <f aca="false">IF(AND(8&lt;=$B$11*12,G36&gt;0),D37-E37,"")</f>
        <v>809.145412594698</v>
      </c>
      <c r="G37" s="29" t="n">
        <f aca="false">IF(AND(8&lt;=$B$11*12,G36&gt;0),MAX(C37-F37,0),"")</f>
        <v>457568.943862638</v>
      </c>
    </row>
    <row r="38" customFormat="false" ht="15" hidden="false" customHeight="false" outlineLevel="0" collapsed="false">
      <c r="A38" s="24" t="n">
        <f aca="false">IF(9&lt;=$B$11*12,9,"")</f>
        <v>9</v>
      </c>
      <c r="B38" s="25" t="n">
        <f aca="true">IF(9&lt;=$B$11*12,DATE(YEAR(TODAY()),MONTH(TODAY())+9,1),"")</f>
        <v>46388</v>
      </c>
      <c r="C38" s="26" t="n">
        <f aca="false">IF(9&lt;=$B$11*12,G37,"")</f>
        <v>457568.943862638</v>
      </c>
      <c r="D38" s="26" t="n">
        <f aca="false">IF(AND(9&lt;=$B$11*12,G37&gt;0),MIN($B$22,C38*(1+$B$18)),"")</f>
        <v>2695.71580825401</v>
      </c>
      <c r="E38" s="26" t="n">
        <f aca="false">IF(AND(9&lt;=$B$11*12,G37&gt;0),C38*$B$18,"")</f>
        <v>1883.24015405985</v>
      </c>
      <c r="F38" s="26" t="n">
        <f aca="false">IF(AND(9&lt;=$B$11*12,G37&gt;0),D38-E38,"")</f>
        <v>812.475654194156</v>
      </c>
      <c r="G38" s="26" t="n">
        <f aca="false">IF(AND(9&lt;=$B$11*12,G37&gt;0),MAX(C38-F38,0),"")</f>
        <v>456756.468208444</v>
      </c>
    </row>
    <row r="39" customFormat="false" ht="15" hidden="false" customHeight="false" outlineLevel="0" collapsed="false">
      <c r="A39" s="27" t="n">
        <f aca="false">IF(10&lt;=$B$11*12,10,"")</f>
        <v>10</v>
      </c>
      <c r="B39" s="28" t="n">
        <f aca="true">IF(10&lt;=$B$11*12,DATE(YEAR(TODAY()),MONTH(TODAY())+10,1),"")</f>
        <v>46419</v>
      </c>
      <c r="C39" s="29" t="n">
        <f aca="false">IF(10&lt;=$B$11*12,G38,"")</f>
        <v>456756.468208444</v>
      </c>
      <c r="D39" s="29" t="n">
        <f aca="false">IF(AND(10&lt;=$B$11*12,G38&gt;0),MIN($B$22,C39*(1+$B$18)),"")</f>
        <v>2695.71580825401</v>
      </c>
      <c r="E39" s="29" t="n">
        <f aca="false">IF(AND(10&lt;=$B$11*12,G38&gt;0),C39*$B$18,"")</f>
        <v>1879.8962060129</v>
      </c>
      <c r="F39" s="29" t="n">
        <f aca="false">IF(AND(10&lt;=$B$11*12,G38&gt;0),D39-E39,"")</f>
        <v>815.819602241106</v>
      </c>
      <c r="G39" s="29" t="n">
        <f aca="false">IF(AND(10&lt;=$B$11*12,G38&gt;0),MAX(C39-F39,0),"")</f>
        <v>455940.648606202</v>
      </c>
    </row>
    <row r="40" customFormat="false" ht="15" hidden="false" customHeight="false" outlineLevel="0" collapsed="false">
      <c r="A40" s="24" t="n">
        <f aca="false">IF(11&lt;=$B$11*12,11,"")</f>
        <v>11</v>
      </c>
      <c r="B40" s="25" t="n">
        <f aca="true">IF(11&lt;=$B$11*12,DATE(YEAR(TODAY()),MONTH(TODAY())+11,1),"")</f>
        <v>46447</v>
      </c>
      <c r="C40" s="26" t="n">
        <f aca="false">IF(11&lt;=$B$11*12,G39,"")</f>
        <v>455940.648606202</v>
      </c>
      <c r="D40" s="26" t="n">
        <f aca="false">IF(AND(11&lt;=$B$11*12,G39&gt;0),MIN($B$22,C40*(1+$B$18)),"")</f>
        <v>2695.71580825401</v>
      </c>
      <c r="E40" s="26" t="n">
        <f aca="false">IF(AND(11&lt;=$B$11*12,G39&gt;0),C40*$B$18,"")</f>
        <v>1876.53849510613</v>
      </c>
      <c r="F40" s="26" t="n">
        <f aca="false">IF(AND(11&lt;=$B$11*12,G39&gt;0),D40-E40,"")</f>
        <v>819.177313147882</v>
      </c>
      <c r="G40" s="26" t="n">
        <f aca="false">IF(AND(11&lt;=$B$11*12,G39&gt;0),MAX(C40-F40,0),"")</f>
        <v>455121.471293055</v>
      </c>
    </row>
    <row r="41" customFormat="false" ht="15" hidden="false" customHeight="false" outlineLevel="0" collapsed="false">
      <c r="A41" s="27" t="n">
        <f aca="false">IF(12&lt;=$B$11*12,12,"")</f>
        <v>12</v>
      </c>
      <c r="B41" s="28" t="n">
        <f aca="true">IF(12&lt;=$B$11*12,DATE(YEAR(TODAY()),MONTH(TODAY())+12,1),"")</f>
        <v>46478</v>
      </c>
      <c r="C41" s="29" t="n">
        <f aca="false">IF(12&lt;=$B$11*12,G40,"")</f>
        <v>455121.471293055</v>
      </c>
      <c r="D41" s="29" t="n">
        <f aca="false">IF(AND(12&lt;=$B$11*12,G40&gt;0),MIN($B$22,C41*(1+$B$18)),"")</f>
        <v>2695.71580825401</v>
      </c>
      <c r="E41" s="29" t="n">
        <f aca="false">IF(AND(12&lt;=$B$11*12,G40&gt;0),C41*$B$18,"")</f>
        <v>1873.16696469501</v>
      </c>
      <c r="F41" s="29" t="n">
        <f aca="false">IF(AND(12&lt;=$B$11*12,G40&gt;0),D41-E41,"")</f>
        <v>822.548843558998</v>
      </c>
      <c r="G41" s="29" t="n">
        <f aca="false">IF(AND(12&lt;=$B$11*12,G40&gt;0),MAX(C41-F41,0),"")</f>
        <v>454298.922449496</v>
      </c>
    </row>
    <row r="42" customFormat="false" ht="15" hidden="false" customHeight="false" outlineLevel="0" collapsed="false">
      <c r="A42" s="24" t="n">
        <f aca="false">IF(13&lt;=$B$11*12,13,"")</f>
        <v>13</v>
      </c>
      <c r="B42" s="25" t="n">
        <f aca="true">IF(13&lt;=$B$11*12,DATE(YEAR(TODAY()),MONTH(TODAY())+13,1),"")</f>
        <v>46508</v>
      </c>
      <c r="C42" s="26" t="n">
        <f aca="false">IF(13&lt;=$B$11*12,G41,"")</f>
        <v>454298.922449496</v>
      </c>
      <c r="D42" s="26" t="n">
        <f aca="false">IF(AND(13&lt;=$B$11*12,G41&gt;0),MIN($B$22,C42*(1+$B$18)),"")</f>
        <v>2695.71580825401</v>
      </c>
      <c r="E42" s="26" t="n">
        <f aca="false">IF(AND(13&lt;=$B$11*12,G41&gt;0),C42*$B$18,"")</f>
        <v>1869.78155790191</v>
      </c>
      <c r="F42" s="26" t="n">
        <f aca="false">IF(AND(13&lt;=$B$11*12,G41&gt;0),D42-E42,"")</f>
        <v>825.934250352101</v>
      </c>
      <c r="G42" s="26" t="n">
        <f aca="false">IF(AND(13&lt;=$B$11*12,G41&gt;0),MAX(C42-F42,0),"")</f>
        <v>453472.988199144</v>
      </c>
    </row>
    <row r="43" customFormat="false" ht="15" hidden="false" customHeight="false" outlineLevel="0" collapsed="false">
      <c r="A43" s="27" t="n">
        <f aca="false">IF(14&lt;=$B$11*12,14,"")</f>
        <v>14</v>
      </c>
      <c r="B43" s="28" t="n">
        <f aca="true">IF(14&lt;=$B$11*12,DATE(YEAR(TODAY()),MONTH(TODAY())+14,1),"")</f>
        <v>46539</v>
      </c>
      <c r="C43" s="29" t="n">
        <f aca="false">IF(14&lt;=$B$11*12,G42,"")</f>
        <v>453472.988199144</v>
      </c>
      <c r="D43" s="29" t="n">
        <f aca="false">IF(AND(14&lt;=$B$11*12,G42&gt;0),MIN($B$22,C43*(1+$B$18)),"")</f>
        <v>2695.71580825401</v>
      </c>
      <c r="E43" s="29" t="n">
        <f aca="false">IF(AND(14&lt;=$B$11*12,G42&gt;0),C43*$B$18,"")</f>
        <v>1866.38221761507</v>
      </c>
      <c r="F43" s="29" t="n">
        <f aca="false">IF(AND(14&lt;=$B$11*12,G42&gt;0),D43-E43,"")</f>
        <v>829.333590638935</v>
      </c>
      <c r="G43" s="29" t="n">
        <f aca="false">IF(AND(14&lt;=$B$11*12,G42&gt;0),MAX(C43-F43,0),"")</f>
        <v>452643.654608505</v>
      </c>
    </row>
    <row r="44" customFormat="false" ht="15" hidden="false" customHeight="false" outlineLevel="0" collapsed="false">
      <c r="A44" s="24" t="n">
        <f aca="false">IF(15&lt;=$B$11*12,15,"")</f>
        <v>15</v>
      </c>
      <c r="B44" s="25" t="n">
        <f aca="true">IF(15&lt;=$B$11*12,DATE(YEAR(TODAY()),MONTH(TODAY())+15,1),"")</f>
        <v>46569</v>
      </c>
      <c r="C44" s="26" t="n">
        <f aca="false">IF(15&lt;=$B$11*12,G43,"")</f>
        <v>452643.654608505</v>
      </c>
      <c r="D44" s="26" t="n">
        <f aca="false">IF(AND(15&lt;=$B$11*12,G43&gt;0),MIN($B$22,C44*(1+$B$18)),"")</f>
        <v>2695.71580825401</v>
      </c>
      <c r="E44" s="26" t="n">
        <f aca="false">IF(AND(15&lt;=$B$11*12,G43&gt;0),C44*$B$18,"")</f>
        <v>1862.96888648771</v>
      </c>
      <c r="F44" s="26" t="n">
        <f aca="false">IF(AND(15&lt;=$B$11*12,G43&gt;0),D44-E44,"")</f>
        <v>832.7469217663</v>
      </c>
      <c r="G44" s="26" t="n">
        <f aca="false">IF(AND(15&lt;=$B$11*12,G43&gt;0),MAX(C44-F44,0),"")</f>
        <v>451810.907686738</v>
      </c>
    </row>
    <row r="45" customFormat="false" ht="15" hidden="false" customHeight="false" outlineLevel="0" collapsed="false">
      <c r="A45" s="27" t="n">
        <f aca="false">IF(16&lt;=$B$11*12,16,"")</f>
        <v>16</v>
      </c>
      <c r="B45" s="28" t="n">
        <f aca="true">IF(16&lt;=$B$11*12,DATE(YEAR(TODAY()),MONTH(TODAY())+16,1),"")</f>
        <v>46600</v>
      </c>
      <c r="C45" s="29" t="n">
        <f aca="false">IF(16&lt;=$B$11*12,G44,"")</f>
        <v>451810.907686738</v>
      </c>
      <c r="D45" s="29" t="n">
        <f aca="false">IF(AND(16&lt;=$B$11*12,G44&gt;0),MIN($B$22,C45*(1+$B$18)),"")</f>
        <v>2695.71580825401</v>
      </c>
      <c r="E45" s="29" t="n">
        <f aca="false">IF(AND(16&lt;=$B$11*12,G44&gt;0),C45*$B$18,"")</f>
        <v>1859.54150693699</v>
      </c>
      <c r="F45" s="29" t="n">
        <f aca="false">IF(AND(16&lt;=$B$11*12,G44&gt;0),D45-E45,"")</f>
        <v>836.174301317022</v>
      </c>
      <c r="G45" s="29" t="n">
        <f aca="false">IF(AND(16&lt;=$B$11*12,G44&gt;0),MAX(C45-F45,0),"")</f>
        <v>450974.733385421</v>
      </c>
    </row>
    <row r="46" customFormat="false" ht="15" hidden="false" customHeight="false" outlineLevel="0" collapsed="false">
      <c r="A46" s="24" t="n">
        <f aca="false">IF(17&lt;=$B$11*12,17,"")</f>
        <v>17</v>
      </c>
      <c r="B46" s="25" t="n">
        <f aca="true">IF(17&lt;=$B$11*12,DATE(YEAR(TODAY()),MONTH(TODAY())+17,1),"")</f>
        <v>46631</v>
      </c>
      <c r="C46" s="26" t="n">
        <f aca="false">IF(17&lt;=$B$11*12,G45,"")</f>
        <v>450974.733385421</v>
      </c>
      <c r="D46" s="26" t="n">
        <f aca="false">IF(AND(17&lt;=$B$11*12,G45&gt;0),MIN($B$22,C46*(1+$B$18)),"")</f>
        <v>2695.71580825401</v>
      </c>
      <c r="E46" s="26" t="n">
        <f aca="false">IF(AND(17&lt;=$B$11*12,G45&gt;0),C46*$B$18,"")</f>
        <v>1856.10002114309</v>
      </c>
      <c r="F46" s="26" t="n">
        <f aca="false">IF(AND(17&lt;=$B$11*12,G45&gt;0),D46-E46,"")</f>
        <v>839.615787110922</v>
      </c>
      <c r="G46" s="26" t="n">
        <f aca="false">IF(AND(17&lt;=$B$11*12,G45&gt;0),MAX(C46-F46,0),"")</f>
        <v>450135.11759831</v>
      </c>
    </row>
    <row r="47" customFormat="false" ht="15" hidden="false" customHeight="false" outlineLevel="0" collapsed="false">
      <c r="A47" s="27" t="n">
        <f aca="false">IF(18&lt;=$B$11*12,18,"")</f>
        <v>18</v>
      </c>
      <c r="B47" s="28" t="n">
        <f aca="true">IF(18&lt;=$B$11*12,DATE(YEAR(TODAY()),MONTH(TODAY())+18,1),"")</f>
        <v>46661</v>
      </c>
      <c r="C47" s="29" t="n">
        <f aca="false">IF(18&lt;=$B$11*12,G46,"")</f>
        <v>450135.11759831</v>
      </c>
      <c r="D47" s="29" t="n">
        <f aca="false">IF(AND(18&lt;=$B$11*12,G46&gt;0),MIN($B$22,C47*(1+$B$18)),"")</f>
        <v>2695.71580825401</v>
      </c>
      <c r="E47" s="29" t="n">
        <f aca="false">IF(AND(18&lt;=$B$11*12,G46&gt;0),C47*$B$18,"")</f>
        <v>1852.64437104821</v>
      </c>
      <c r="F47" s="29" t="n">
        <f aca="false">IF(AND(18&lt;=$B$11*12,G46&gt;0),D47-E47,"")</f>
        <v>843.071437205795</v>
      </c>
      <c r="G47" s="29" t="n">
        <f aca="false">IF(AND(18&lt;=$B$11*12,G46&gt;0),MAX(C47-F47,0),"")</f>
        <v>449292.046161105</v>
      </c>
    </row>
    <row r="48" customFormat="false" ht="15" hidden="false" customHeight="false" outlineLevel="0" collapsed="false">
      <c r="A48" s="24" t="n">
        <f aca="false">IF(19&lt;=$B$11*12,19,"")</f>
        <v>19</v>
      </c>
      <c r="B48" s="25" t="n">
        <f aca="true">IF(19&lt;=$B$11*12,DATE(YEAR(TODAY()),MONTH(TODAY())+19,1),"")</f>
        <v>46692</v>
      </c>
      <c r="C48" s="26" t="n">
        <f aca="false">IF(19&lt;=$B$11*12,G47,"")</f>
        <v>449292.046161105</v>
      </c>
      <c r="D48" s="26" t="n">
        <f aca="false">IF(AND(19&lt;=$B$11*12,G47&gt;0),MIN($B$22,C48*(1+$B$18)),"")</f>
        <v>2695.71580825401</v>
      </c>
      <c r="E48" s="26" t="n">
        <f aca="false">IF(AND(19&lt;=$B$11*12,G47&gt;0),C48*$B$18,"")</f>
        <v>1849.17449835562</v>
      </c>
      <c r="F48" s="26" t="n">
        <f aca="false">IF(AND(19&lt;=$B$11*12,G47&gt;0),D48-E48,"")</f>
        <v>846.541309898387</v>
      </c>
      <c r="G48" s="26" t="n">
        <f aca="false">IF(AND(19&lt;=$B$11*12,G47&gt;0),MAX(C48-F48,0),"")</f>
        <v>448445.504851206</v>
      </c>
    </row>
    <row r="49" customFormat="false" ht="15" hidden="false" customHeight="false" outlineLevel="0" collapsed="false">
      <c r="A49" s="27" t="n">
        <f aca="false">IF(20&lt;=$B$11*12,20,"")</f>
        <v>20</v>
      </c>
      <c r="B49" s="28" t="n">
        <f aca="true">IF(20&lt;=$B$11*12,DATE(YEAR(TODAY()),MONTH(TODAY())+20,1),"")</f>
        <v>46722</v>
      </c>
      <c r="C49" s="29" t="n">
        <f aca="false">IF(20&lt;=$B$11*12,G48,"")</f>
        <v>448445.504851206</v>
      </c>
      <c r="D49" s="29" t="n">
        <f aca="false">IF(AND(20&lt;=$B$11*12,G48&gt;0),MIN($B$22,C49*(1+$B$18)),"")</f>
        <v>2695.71580825401</v>
      </c>
      <c r="E49" s="29" t="n">
        <f aca="false">IF(AND(20&lt;=$B$11*12,G48&gt;0),C49*$B$18,"")</f>
        <v>1845.69034452863</v>
      </c>
      <c r="F49" s="29" t="n">
        <f aca="false">IF(AND(20&lt;=$B$11*12,G48&gt;0),D49-E49,"")</f>
        <v>850.025463725377</v>
      </c>
      <c r="G49" s="29" t="n">
        <f aca="false">IF(AND(20&lt;=$B$11*12,G48&gt;0),MAX(C49-F49,0),"")</f>
        <v>447595.479387481</v>
      </c>
    </row>
    <row r="50" customFormat="false" ht="15" hidden="false" customHeight="false" outlineLevel="0" collapsed="false">
      <c r="A50" s="24" t="n">
        <f aca="false">IF(21&lt;=$B$11*12,21,"")</f>
        <v>21</v>
      </c>
      <c r="B50" s="25" t="n">
        <f aca="true">IF(21&lt;=$B$11*12,DATE(YEAR(TODAY()),MONTH(TODAY())+21,1),"")</f>
        <v>46753</v>
      </c>
      <c r="C50" s="26" t="n">
        <f aca="false">IF(21&lt;=$B$11*12,G49,"")</f>
        <v>447595.479387481</v>
      </c>
      <c r="D50" s="26" t="n">
        <f aca="false">IF(AND(21&lt;=$B$11*12,G49&gt;0),MIN($B$22,C50*(1+$B$18)),"")</f>
        <v>2695.71580825401</v>
      </c>
      <c r="E50" s="26" t="n">
        <f aca="false">IF(AND(21&lt;=$B$11*12,G49&gt;0),C50*$B$18,"")</f>
        <v>1842.19185078964</v>
      </c>
      <c r="F50" s="26" t="n">
        <f aca="false">IF(AND(21&lt;=$B$11*12,G49&gt;0),D50-E50,"")</f>
        <v>853.52395746437</v>
      </c>
      <c r="G50" s="26" t="n">
        <f aca="false">IF(AND(21&lt;=$B$11*12,G49&gt;0),MAX(C50-F50,0),"")</f>
        <v>446741.955430016</v>
      </c>
    </row>
    <row r="51" customFormat="false" ht="15" hidden="false" customHeight="false" outlineLevel="0" collapsed="false">
      <c r="A51" s="27" t="n">
        <f aca="false">IF(22&lt;=$B$11*12,22,"")</f>
        <v>22</v>
      </c>
      <c r="B51" s="28" t="n">
        <f aca="true">IF(22&lt;=$B$11*12,DATE(YEAR(TODAY()),MONTH(TODAY())+22,1),"")</f>
        <v>46784</v>
      </c>
      <c r="C51" s="29" t="n">
        <f aca="false">IF(22&lt;=$B$11*12,G50,"")</f>
        <v>446741.955430016</v>
      </c>
      <c r="D51" s="29" t="n">
        <f aca="false">IF(AND(22&lt;=$B$11*12,G50&gt;0),MIN($B$22,C51*(1+$B$18)),"")</f>
        <v>2695.71580825401</v>
      </c>
      <c r="E51" s="29" t="n">
        <f aca="false">IF(AND(22&lt;=$B$11*12,G50&gt;0),C51*$B$18,"")</f>
        <v>1838.67895811913</v>
      </c>
      <c r="F51" s="29" t="n">
        <f aca="false">IF(AND(22&lt;=$B$11*12,G50&gt;0),D51-E51,"")</f>
        <v>857.036850134882</v>
      </c>
      <c r="G51" s="29" t="n">
        <f aca="false">IF(AND(22&lt;=$B$11*12,G50&gt;0),MAX(C51-F51,0),"")</f>
        <v>445884.918579882</v>
      </c>
    </row>
    <row r="52" customFormat="false" ht="15" hidden="false" customHeight="false" outlineLevel="0" collapsed="false">
      <c r="A52" s="24" t="n">
        <f aca="false">IF(23&lt;=$B$11*12,23,"")</f>
        <v>23</v>
      </c>
      <c r="B52" s="25" t="n">
        <f aca="true">IF(23&lt;=$B$11*12,DATE(YEAR(TODAY()),MONTH(TODAY())+23,1),"")</f>
        <v>46813</v>
      </c>
      <c r="C52" s="26" t="n">
        <f aca="false">IF(23&lt;=$B$11*12,G51,"")</f>
        <v>445884.918579882</v>
      </c>
      <c r="D52" s="26" t="n">
        <f aca="false">IF(AND(23&lt;=$B$11*12,G51&gt;0),MIN($B$22,C52*(1+$B$18)),"")</f>
        <v>2695.71580825401</v>
      </c>
      <c r="E52" s="26" t="n">
        <f aca="false">IF(AND(23&lt;=$B$11*12,G51&gt;0),C52*$B$18,"")</f>
        <v>1835.15160725467</v>
      </c>
      <c r="F52" s="26" t="n">
        <f aca="false">IF(AND(23&lt;=$B$11*12,G51&gt;0),D52-E52,"")</f>
        <v>860.56420099934</v>
      </c>
      <c r="G52" s="26" t="n">
        <f aca="false">IF(AND(23&lt;=$B$11*12,G51&gt;0),MAX(C52-F52,0),"")</f>
        <v>445024.354378882</v>
      </c>
    </row>
    <row r="53" customFormat="false" ht="15" hidden="false" customHeight="false" outlineLevel="0" collapsed="false">
      <c r="A53" s="27" t="n">
        <f aca="false">IF(24&lt;=$B$11*12,24,"")</f>
        <v>24</v>
      </c>
      <c r="B53" s="28" t="n">
        <f aca="true">IF(24&lt;=$B$11*12,DATE(YEAR(TODAY()),MONTH(TODAY())+24,1),"")</f>
        <v>46844</v>
      </c>
      <c r="C53" s="29" t="n">
        <f aca="false">IF(24&lt;=$B$11*12,G52,"")</f>
        <v>445024.354378882</v>
      </c>
      <c r="D53" s="29" t="n">
        <f aca="false">IF(AND(24&lt;=$B$11*12,G52&gt;0),MIN($B$22,C53*(1+$B$18)),"")</f>
        <v>2695.71580825401</v>
      </c>
      <c r="E53" s="29" t="n">
        <f aca="false">IF(AND(24&lt;=$B$11*12,G52&gt;0),C53*$B$18,"")</f>
        <v>1831.60973868993</v>
      </c>
      <c r="F53" s="29" t="n">
        <f aca="false">IF(AND(24&lt;=$B$11*12,G52&gt;0),D53-E53,"")</f>
        <v>864.10606956408</v>
      </c>
      <c r="G53" s="29" t="n">
        <f aca="false">IF(AND(24&lt;=$B$11*12,G52&gt;0),MAX(C53-F53,0),"")</f>
        <v>444160.248309318</v>
      </c>
    </row>
    <row r="54" customFormat="false" ht="15" hidden="false" customHeight="false" outlineLevel="0" collapsed="false">
      <c r="A54" s="24" t="n">
        <f aca="false">IF(25&lt;=$B$11*12,25,"")</f>
        <v>25</v>
      </c>
      <c r="B54" s="25" t="n">
        <f aca="true">IF(25&lt;=$B$11*12,DATE(YEAR(TODAY()),MONTH(TODAY())+25,1),"")</f>
        <v>46874</v>
      </c>
      <c r="C54" s="26" t="n">
        <f aca="false">IF(25&lt;=$B$11*12,G53,"")</f>
        <v>444160.248309318</v>
      </c>
      <c r="D54" s="26" t="n">
        <f aca="false">IF(AND(25&lt;=$B$11*12,G53&gt;0),MIN($B$22,C54*(1+$B$18)),"")</f>
        <v>2695.71580825401</v>
      </c>
      <c r="E54" s="26" t="n">
        <f aca="false">IF(AND(25&lt;=$B$11*12,G53&gt;0),C54*$B$18,"")</f>
        <v>1828.05329267366</v>
      </c>
      <c r="F54" s="26" t="n">
        <f aca="false">IF(AND(25&lt;=$B$11*12,G53&gt;0),D54-E54,"")</f>
        <v>867.662515580352</v>
      </c>
      <c r="G54" s="26" t="n">
        <f aca="false">IF(AND(25&lt;=$B$11*12,G53&gt;0),MAX(C54-F54,0),"")</f>
        <v>443292.585793738</v>
      </c>
    </row>
    <row r="55" customFormat="false" ht="15" hidden="false" customHeight="false" outlineLevel="0" collapsed="false">
      <c r="A55" s="27" t="n">
        <f aca="false">IF(26&lt;=$B$11*12,26,"")</f>
        <v>26</v>
      </c>
      <c r="B55" s="28" t="n">
        <f aca="true">IF(26&lt;=$B$11*12,DATE(YEAR(TODAY()),MONTH(TODAY())+26,1),"")</f>
        <v>46905</v>
      </c>
      <c r="C55" s="29" t="n">
        <f aca="false">IF(26&lt;=$B$11*12,G54,"")</f>
        <v>443292.585793738</v>
      </c>
      <c r="D55" s="29" t="n">
        <f aca="false">IF(AND(26&lt;=$B$11*12,G54&gt;0),MIN($B$22,C55*(1+$B$18)),"")</f>
        <v>2695.71580825401</v>
      </c>
      <c r="E55" s="29" t="n">
        <f aca="false">IF(AND(26&lt;=$B$11*12,G54&gt;0),C55*$B$18,"")</f>
        <v>1824.48220920868</v>
      </c>
      <c r="F55" s="29" t="n">
        <f aca="false">IF(AND(26&lt;=$B$11*12,G54&gt;0),D55-E55,"")</f>
        <v>871.233599045326</v>
      </c>
      <c r="G55" s="29" t="n">
        <f aca="false">IF(AND(26&lt;=$B$11*12,G54&gt;0),MAX(C55-F55,0),"")</f>
        <v>442421.352194692</v>
      </c>
    </row>
    <row r="56" customFormat="false" ht="15" hidden="false" customHeight="false" outlineLevel="0" collapsed="false">
      <c r="A56" s="24" t="n">
        <f aca="false">IF(27&lt;=$B$11*12,27,"")</f>
        <v>27</v>
      </c>
      <c r="B56" s="25" t="n">
        <f aca="true">IF(27&lt;=$B$11*12,DATE(YEAR(TODAY()),MONTH(TODAY())+27,1),"")</f>
        <v>46935</v>
      </c>
      <c r="C56" s="26" t="n">
        <f aca="false">IF(27&lt;=$B$11*12,G55,"")</f>
        <v>442421.352194692</v>
      </c>
      <c r="D56" s="26" t="n">
        <f aca="false">IF(AND(27&lt;=$B$11*12,G55&gt;0),MIN($B$22,C56*(1+$B$18)),"")</f>
        <v>2695.71580825401</v>
      </c>
      <c r="E56" s="26" t="n">
        <f aca="false">IF(AND(27&lt;=$B$11*12,G55&gt;0),C56*$B$18,"")</f>
        <v>1820.8964280509</v>
      </c>
      <c r="F56" s="26" t="n">
        <f aca="false">IF(AND(27&lt;=$B$11*12,G55&gt;0),D56-E56,"")</f>
        <v>874.819380203106</v>
      </c>
      <c r="G56" s="26" t="n">
        <f aca="false">IF(AND(27&lt;=$B$11*12,G55&gt;0),MAX(C56-F56,0),"")</f>
        <v>441546.532814489</v>
      </c>
    </row>
    <row r="57" customFormat="false" ht="15" hidden="false" customHeight="false" outlineLevel="0" collapsed="false">
      <c r="A57" s="27" t="n">
        <f aca="false">IF(28&lt;=$B$11*12,28,"")</f>
        <v>28</v>
      </c>
      <c r="B57" s="28" t="n">
        <f aca="true">IF(28&lt;=$B$11*12,DATE(YEAR(TODAY()),MONTH(TODAY())+28,1),"")</f>
        <v>46966</v>
      </c>
      <c r="C57" s="29" t="n">
        <f aca="false">IF(28&lt;=$B$11*12,G56,"")</f>
        <v>441546.532814489</v>
      </c>
      <c r="D57" s="29" t="n">
        <f aca="false">IF(AND(28&lt;=$B$11*12,G56&gt;0),MIN($B$22,C57*(1+$B$18)),"")</f>
        <v>2695.71580825401</v>
      </c>
      <c r="E57" s="29" t="n">
        <f aca="false">IF(AND(28&lt;=$B$11*12,G56&gt;0),C57*$B$18,"")</f>
        <v>1817.29588870826</v>
      </c>
      <c r="F57" s="29" t="n">
        <f aca="false">IF(AND(28&lt;=$B$11*12,G56&gt;0),D57-E57,"")</f>
        <v>878.419919545748</v>
      </c>
      <c r="G57" s="29" t="n">
        <f aca="false">IF(AND(28&lt;=$B$11*12,G56&gt;0),MAX(C57-F57,0),"")</f>
        <v>440668.112894944</v>
      </c>
    </row>
    <row r="58" customFormat="false" ht="15" hidden="false" customHeight="false" outlineLevel="0" collapsed="false">
      <c r="A58" s="24" t="n">
        <f aca="false">IF(29&lt;=$B$11*12,29,"")</f>
        <v>29</v>
      </c>
      <c r="B58" s="25" t="n">
        <f aca="true">IF(29&lt;=$B$11*12,DATE(YEAR(TODAY()),MONTH(TODAY())+29,1),"")</f>
        <v>46997</v>
      </c>
      <c r="C58" s="26" t="n">
        <f aca="false">IF(29&lt;=$B$11*12,G57,"")</f>
        <v>440668.112894944</v>
      </c>
      <c r="D58" s="26" t="n">
        <f aca="false">IF(AND(29&lt;=$B$11*12,G57&gt;0),MIN($B$22,C58*(1+$B$18)),"")</f>
        <v>2695.71580825401</v>
      </c>
      <c r="E58" s="26" t="n">
        <f aca="false">IF(AND(29&lt;=$B$11*12,G57&gt;0),C58*$B$18,"")</f>
        <v>1813.68053043973</v>
      </c>
      <c r="F58" s="26" t="n">
        <f aca="false">IF(AND(29&lt;=$B$11*12,G57&gt;0),D58-E58,"")</f>
        <v>882.035277814274</v>
      </c>
      <c r="G58" s="26" t="n">
        <f aca="false">IF(AND(29&lt;=$B$11*12,G57&gt;0),MAX(C58-F58,0),"")</f>
        <v>439786.077617129</v>
      </c>
    </row>
    <row r="59" customFormat="false" ht="15" hidden="false" customHeight="false" outlineLevel="0" collapsed="false">
      <c r="A59" s="27" t="n">
        <f aca="false">IF(30&lt;=$B$11*12,30,"")</f>
        <v>30</v>
      </c>
      <c r="B59" s="28" t="n">
        <f aca="true">IF(30&lt;=$B$11*12,DATE(YEAR(TODAY()),MONTH(TODAY())+30,1),"")</f>
        <v>47027</v>
      </c>
      <c r="C59" s="29" t="n">
        <f aca="false">IF(30&lt;=$B$11*12,G58,"")</f>
        <v>439786.077617129</v>
      </c>
      <c r="D59" s="29" t="n">
        <f aca="false">IF(AND(30&lt;=$B$11*12,G58&gt;0),MIN($B$22,C59*(1+$B$18)),"")</f>
        <v>2695.71580825401</v>
      </c>
      <c r="E59" s="29" t="n">
        <f aca="false">IF(AND(30&lt;=$B$11*12,G58&gt;0),C59*$B$18,"")</f>
        <v>1810.0502922543</v>
      </c>
      <c r="F59" s="29" t="n">
        <f aca="false">IF(AND(30&lt;=$B$11*12,G58&gt;0),D59-E59,"")</f>
        <v>885.665515999704</v>
      </c>
      <c r="G59" s="29" t="n">
        <f aca="false">IF(AND(30&lt;=$B$11*12,G58&gt;0),MAX(C59-F59,0),"")</f>
        <v>438900.41210113</v>
      </c>
    </row>
    <row r="60" customFormat="false" ht="15" hidden="false" customHeight="false" outlineLevel="0" collapsed="false">
      <c r="A60" s="24" t="n">
        <f aca="false">IF(31&lt;=$B$11*12,31,"")</f>
        <v>31</v>
      </c>
      <c r="B60" s="25" t="n">
        <f aca="true">IF(31&lt;=$B$11*12,DATE(YEAR(TODAY()),MONTH(TODAY())+31,1),"")</f>
        <v>47058</v>
      </c>
      <c r="C60" s="26" t="n">
        <f aca="false">IF(31&lt;=$B$11*12,G59,"")</f>
        <v>438900.41210113</v>
      </c>
      <c r="D60" s="26" t="n">
        <f aca="false">IF(AND(31&lt;=$B$11*12,G59&gt;0),MIN($B$22,C60*(1+$B$18)),"")</f>
        <v>2695.71580825401</v>
      </c>
      <c r="E60" s="26" t="n">
        <f aca="false">IF(AND(31&lt;=$B$11*12,G59&gt;0),C60*$B$18,"")</f>
        <v>1806.40511290993</v>
      </c>
      <c r="F60" s="26" t="n">
        <f aca="false">IF(AND(31&lt;=$B$11*12,G59&gt;0),D60-E60,"")</f>
        <v>889.310695344082</v>
      </c>
      <c r="G60" s="26" t="n">
        <f aca="false">IF(AND(31&lt;=$B$11*12,G59&gt;0),MAX(C60-F60,0),"")</f>
        <v>438011.101405786</v>
      </c>
    </row>
    <row r="61" customFormat="false" ht="15" hidden="false" customHeight="false" outlineLevel="0" collapsed="false">
      <c r="A61" s="27" t="n">
        <f aca="false">IF(32&lt;=$B$11*12,32,"")</f>
        <v>32</v>
      </c>
      <c r="B61" s="28" t="n">
        <f aca="true">IF(32&lt;=$B$11*12,DATE(YEAR(TODAY()),MONTH(TODAY())+32,1),"")</f>
        <v>47088</v>
      </c>
      <c r="C61" s="29" t="n">
        <f aca="false">IF(32&lt;=$B$11*12,G60,"")</f>
        <v>438011.101405786</v>
      </c>
      <c r="D61" s="29" t="n">
        <f aca="false">IF(AND(32&lt;=$B$11*12,G60&gt;0),MIN($B$22,C61*(1+$B$18)),"")</f>
        <v>2695.71580825401</v>
      </c>
      <c r="E61" s="29" t="n">
        <f aca="false">IF(AND(32&lt;=$B$11*12,G60&gt;0),C61*$B$18,"")</f>
        <v>1802.7449309125</v>
      </c>
      <c r="F61" s="29" t="n">
        <f aca="false">IF(AND(32&lt;=$B$11*12,G60&gt;0),D61-E61,"")</f>
        <v>892.970877341507</v>
      </c>
      <c r="G61" s="29" t="n">
        <f aca="false">IF(AND(32&lt;=$B$11*12,G60&gt;0),MAX(C61-F61,0),"")</f>
        <v>437118.130528444</v>
      </c>
    </row>
    <row r="62" customFormat="false" ht="15" hidden="false" customHeight="false" outlineLevel="0" collapsed="false">
      <c r="A62" s="24" t="n">
        <f aca="false">IF(33&lt;=$B$11*12,33,"")</f>
        <v>33</v>
      </c>
      <c r="B62" s="25" t="n">
        <f aca="true">IF(33&lt;=$B$11*12,DATE(YEAR(TODAY()),MONTH(TODAY())+33,1),"")</f>
        <v>47119</v>
      </c>
      <c r="C62" s="26" t="n">
        <f aca="false">IF(33&lt;=$B$11*12,G61,"")</f>
        <v>437118.130528444</v>
      </c>
      <c r="D62" s="26" t="n">
        <f aca="false">IF(AND(33&lt;=$B$11*12,G61&gt;0),MIN($B$22,C62*(1+$B$18)),"")</f>
        <v>2695.71580825401</v>
      </c>
      <c r="E62" s="26" t="n">
        <f aca="false">IF(AND(33&lt;=$B$11*12,G61&gt;0),C62*$B$18,"")</f>
        <v>1799.06968451483</v>
      </c>
      <c r="F62" s="26" t="n">
        <f aca="false">IF(AND(33&lt;=$B$11*12,G61&gt;0),D62-E62,"")</f>
        <v>896.646123739174</v>
      </c>
      <c r="G62" s="26" t="n">
        <f aca="false">IF(AND(33&lt;=$B$11*12,G61&gt;0),MAX(C62-F62,0),"")</f>
        <v>436221.484404705</v>
      </c>
    </row>
    <row r="63" customFormat="false" ht="15" hidden="false" customHeight="false" outlineLevel="0" collapsed="false">
      <c r="A63" s="27" t="n">
        <f aca="false">IF(34&lt;=$B$11*12,34,"")</f>
        <v>34</v>
      </c>
      <c r="B63" s="28" t="n">
        <f aca="true">IF(34&lt;=$B$11*12,DATE(YEAR(TODAY()),MONTH(TODAY())+34,1),"")</f>
        <v>47150</v>
      </c>
      <c r="C63" s="29" t="n">
        <f aca="false">IF(34&lt;=$B$11*12,G62,"")</f>
        <v>436221.484404705</v>
      </c>
      <c r="D63" s="29" t="n">
        <f aca="false">IF(AND(34&lt;=$B$11*12,G62&gt;0),MIN($B$22,C63*(1+$B$18)),"")</f>
        <v>2695.71580825401</v>
      </c>
      <c r="E63" s="29" t="n">
        <f aca="false">IF(AND(34&lt;=$B$11*12,G62&gt;0),C63*$B$18,"")</f>
        <v>1795.37931171559</v>
      </c>
      <c r="F63" s="29" t="n">
        <f aca="false">IF(AND(34&lt;=$B$11*12,G62&gt;0),D63-E63,"")</f>
        <v>900.336496538414</v>
      </c>
      <c r="G63" s="29" t="n">
        <f aca="false">IF(AND(34&lt;=$B$11*12,G62&gt;0),MAX(C63-F63,0),"")</f>
        <v>435321.147908166</v>
      </c>
    </row>
    <row r="64" customFormat="false" ht="15" hidden="false" customHeight="false" outlineLevel="0" collapsed="false">
      <c r="A64" s="24" t="n">
        <f aca="false">IF(35&lt;=$B$11*12,35,"")</f>
        <v>35</v>
      </c>
      <c r="B64" s="25" t="n">
        <f aca="true">IF(35&lt;=$B$11*12,DATE(YEAR(TODAY()),MONTH(TODAY())+35,1),"")</f>
        <v>47178</v>
      </c>
      <c r="C64" s="26" t="n">
        <f aca="false">IF(35&lt;=$B$11*12,G63,"")</f>
        <v>435321.147908166</v>
      </c>
      <c r="D64" s="26" t="n">
        <f aca="false">IF(AND(35&lt;=$B$11*12,G63&gt;0),MIN($B$22,C64*(1+$B$18)),"")</f>
        <v>2695.71580825401</v>
      </c>
      <c r="E64" s="26" t="n">
        <f aca="false">IF(AND(35&lt;=$B$11*12,G63&gt;0),C64*$B$18,"")</f>
        <v>1791.67375025827</v>
      </c>
      <c r="F64" s="26" t="n">
        <f aca="false">IF(AND(35&lt;=$B$11*12,G63&gt;0),D64-E64,"")</f>
        <v>904.04205799574</v>
      </c>
      <c r="G64" s="26" t="n">
        <f aca="false">IF(AND(35&lt;=$B$11*12,G63&gt;0),MAX(C64-F64,0),"")</f>
        <v>434417.105850171</v>
      </c>
    </row>
    <row r="65" customFormat="false" ht="15" hidden="false" customHeight="false" outlineLevel="0" collapsed="false">
      <c r="A65" s="27" t="n">
        <f aca="false">IF(36&lt;=$B$11*12,36,"")</f>
        <v>36</v>
      </c>
      <c r="B65" s="28" t="n">
        <f aca="true">IF(36&lt;=$B$11*12,DATE(YEAR(TODAY()),MONTH(TODAY())+36,1),"")</f>
        <v>47209</v>
      </c>
      <c r="C65" s="29" t="n">
        <f aca="false">IF(36&lt;=$B$11*12,G64,"")</f>
        <v>434417.105850171</v>
      </c>
      <c r="D65" s="29" t="n">
        <f aca="false">IF(AND(36&lt;=$B$11*12,G64&gt;0),MIN($B$22,C65*(1+$B$18)),"")</f>
        <v>2695.71580825401</v>
      </c>
      <c r="E65" s="29" t="n">
        <f aca="false">IF(AND(36&lt;=$B$11*12,G64&gt;0),C65*$B$18,"")</f>
        <v>1787.95293763011</v>
      </c>
      <c r="F65" s="29" t="n">
        <f aca="false">IF(AND(36&lt;=$B$11*12,G64&gt;0),D65-E65,"")</f>
        <v>907.762870623897</v>
      </c>
      <c r="G65" s="29" t="n">
        <f aca="false">IF(AND(36&lt;=$B$11*12,G64&gt;0),MAX(C65-F65,0),"")</f>
        <v>433509.342979547</v>
      </c>
    </row>
    <row r="66" customFormat="false" ht="15" hidden="false" customHeight="false" outlineLevel="0" collapsed="false">
      <c r="A66" s="24" t="n">
        <f aca="false">IF(37&lt;=$B$11*12,37,"")</f>
        <v>37</v>
      </c>
      <c r="B66" s="25" t="n">
        <f aca="true">IF(37&lt;=$B$11*12,DATE(YEAR(TODAY()),MONTH(TODAY())+37,1),"")</f>
        <v>47239</v>
      </c>
      <c r="C66" s="26" t="n">
        <f aca="false">IF(37&lt;=$B$11*12,G65,"")</f>
        <v>433509.342979547</v>
      </c>
      <c r="D66" s="26" t="n">
        <f aca="false">IF(AND(37&lt;=$B$11*12,G65&gt;0),MIN($B$22,C66*(1+$B$18)),"")</f>
        <v>2695.71580825401</v>
      </c>
      <c r="E66" s="26" t="n">
        <f aca="false">IF(AND(37&lt;=$B$11*12,G65&gt;0),C66*$B$18,"")</f>
        <v>1784.21681106109</v>
      </c>
      <c r="F66" s="26" t="n">
        <f aca="false">IF(AND(37&lt;=$B$11*12,G65&gt;0),D66-E66,"")</f>
        <v>911.498997192917</v>
      </c>
      <c r="G66" s="26" t="n">
        <f aca="false">IF(AND(37&lt;=$B$11*12,G65&gt;0),MAX(C66-F66,0),"")</f>
        <v>432597.843982354</v>
      </c>
    </row>
    <row r="67" customFormat="false" ht="15" hidden="false" customHeight="false" outlineLevel="0" collapsed="false">
      <c r="A67" s="27" t="n">
        <f aca="false">IF(38&lt;=$B$11*12,38,"")</f>
        <v>38</v>
      </c>
      <c r="B67" s="28" t="n">
        <f aca="true">IF(38&lt;=$B$11*12,DATE(YEAR(TODAY()),MONTH(TODAY())+38,1),"")</f>
        <v>47270</v>
      </c>
      <c r="C67" s="29" t="n">
        <f aca="false">IF(38&lt;=$B$11*12,G66,"")</f>
        <v>432597.843982354</v>
      </c>
      <c r="D67" s="29" t="n">
        <f aca="false">IF(AND(38&lt;=$B$11*12,G66&gt;0),MIN($B$22,C67*(1+$B$18)),"")</f>
        <v>2695.71580825401</v>
      </c>
      <c r="E67" s="29" t="n">
        <f aca="false">IF(AND(38&lt;=$B$11*12,G66&gt;0),C67*$B$18,"")</f>
        <v>1780.46530752283</v>
      </c>
      <c r="F67" s="29" t="n">
        <f aca="false">IF(AND(38&lt;=$B$11*12,G66&gt;0),D67-E67,"")</f>
        <v>915.250500731178</v>
      </c>
      <c r="G67" s="29" t="n">
        <f aca="false">IF(AND(38&lt;=$B$11*12,G66&gt;0),MAX(C67-F67,0),"")</f>
        <v>431682.593481623</v>
      </c>
    </row>
    <row r="68" customFormat="false" ht="15" hidden="false" customHeight="false" outlineLevel="0" collapsed="false">
      <c r="A68" s="24" t="n">
        <f aca="false">IF(39&lt;=$B$11*12,39,"")</f>
        <v>39</v>
      </c>
      <c r="B68" s="25" t="n">
        <f aca="true">IF(39&lt;=$B$11*12,DATE(YEAR(TODAY()),MONTH(TODAY())+39,1),"")</f>
        <v>47300</v>
      </c>
      <c r="C68" s="26" t="n">
        <f aca="false">IF(39&lt;=$B$11*12,G67,"")</f>
        <v>431682.593481623</v>
      </c>
      <c r="D68" s="26" t="n">
        <f aca="false">IF(AND(39&lt;=$B$11*12,G67&gt;0),MIN($B$22,C68*(1+$B$18)),"")</f>
        <v>2695.71580825401</v>
      </c>
      <c r="E68" s="26" t="n">
        <f aca="false">IF(AND(39&lt;=$B$11*12,G67&gt;0),C68*$B$18,"")</f>
        <v>1776.69836372754</v>
      </c>
      <c r="F68" s="26" t="n">
        <f aca="false">IF(AND(39&lt;=$B$11*12,G67&gt;0),D68-E68,"")</f>
        <v>919.017444526467</v>
      </c>
      <c r="G68" s="26" t="n">
        <f aca="false">IF(AND(39&lt;=$B$11*12,G67&gt;0),MAX(C68-F68,0),"")</f>
        <v>430763.576037096</v>
      </c>
    </row>
    <row r="69" customFormat="false" ht="15" hidden="false" customHeight="false" outlineLevel="0" collapsed="false">
      <c r="A69" s="27" t="n">
        <f aca="false">IF(40&lt;=$B$11*12,40,"")</f>
        <v>40</v>
      </c>
      <c r="B69" s="28" t="n">
        <f aca="true">IF(40&lt;=$B$11*12,DATE(YEAR(TODAY()),MONTH(TODAY())+40,1),"")</f>
        <v>47331</v>
      </c>
      <c r="C69" s="29" t="n">
        <f aca="false">IF(40&lt;=$B$11*12,G68,"")</f>
        <v>430763.576037096</v>
      </c>
      <c r="D69" s="29" t="n">
        <f aca="false">IF(AND(40&lt;=$B$11*12,G68&gt;0),MIN($B$22,C69*(1+$B$18)),"")</f>
        <v>2695.71580825401</v>
      </c>
      <c r="E69" s="29" t="n">
        <f aca="false">IF(AND(40&lt;=$B$11*12,G68&gt;0),C69*$B$18,"")</f>
        <v>1772.91591612696</v>
      </c>
      <c r="F69" s="29" t="n">
        <f aca="false">IF(AND(40&lt;=$B$11*12,G68&gt;0),D69-E69,"")</f>
        <v>922.799892127048</v>
      </c>
      <c r="G69" s="29" t="n">
        <f aca="false">IF(AND(40&lt;=$B$11*12,G68&gt;0),MAX(C69-F69,0),"")</f>
        <v>429840.776144969</v>
      </c>
    </row>
    <row r="70" customFormat="false" ht="15" hidden="false" customHeight="false" outlineLevel="0" collapsed="false">
      <c r="A70" s="24" t="n">
        <f aca="false">IF(41&lt;=$B$11*12,41,"")</f>
        <v>41</v>
      </c>
      <c r="B70" s="25" t="n">
        <f aca="true">IF(41&lt;=$B$11*12,DATE(YEAR(TODAY()),MONTH(TODAY())+41,1),"")</f>
        <v>47362</v>
      </c>
      <c r="C70" s="26" t="n">
        <f aca="false">IF(41&lt;=$B$11*12,G69,"")</f>
        <v>429840.776144969</v>
      </c>
      <c r="D70" s="26" t="n">
        <f aca="false">IF(AND(41&lt;=$B$11*12,G69&gt;0),MIN($B$22,C70*(1+$B$18)),"")</f>
        <v>2695.71580825401</v>
      </c>
      <c r="E70" s="26" t="n">
        <f aca="false">IF(AND(41&lt;=$B$11*12,G69&gt;0),C70*$B$18,"")</f>
        <v>1769.11790091127</v>
      </c>
      <c r="F70" s="26" t="n">
        <f aca="false">IF(AND(41&lt;=$B$11*12,G69&gt;0),D70-E70,"")</f>
        <v>926.597907342734</v>
      </c>
      <c r="G70" s="26" t="n">
        <f aca="false">IF(AND(41&lt;=$B$11*12,G69&gt;0),MAX(C70-F70,0),"")</f>
        <v>428914.178237626</v>
      </c>
    </row>
    <row r="71" customFormat="false" ht="15" hidden="false" customHeight="false" outlineLevel="0" collapsed="false">
      <c r="A71" s="27" t="n">
        <f aca="false">IF(42&lt;=$B$11*12,42,"")</f>
        <v>42</v>
      </c>
      <c r="B71" s="28" t="n">
        <f aca="true">IF(42&lt;=$B$11*12,DATE(YEAR(TODAY()),MONTH(TODAY())+42,1),"")</f>
        <v>47392</v>
      </c>
      <c r="C71" s="29" t="n">
        <f aca="false">IF(42&lt;=$B$11*12,G70,"")</f>
        <v>428914.178237626</v>
      </c>
      <c r="D71" s="29" t="n">
        <f aca="false">IF(AND(42&lt;=$B$11*12,G70&gt;0),MIN($B$22,C71*(1+$B$18)),"")</f>
        <v>2695.71580825401</v>
      </c>
      <c r="E71" s="29" t="n">
        <f aca="false">IF(AND(42&lt;=$B$11*12,G70&gt;0),C71*$B$18,"")</f>
        <v>1765.30425400804</v>
      </c>
      <c r="F71" s="29" t="n">
        <f aca="false">IF(AND(42&lt;=$B$11*12,G70&gt;0),D71-E71,"")</f>
        <v>930.411554245964</v>
      </c>
      <c r="G71" s="29" t="n">
        <f aca="false">IF(AND(42&lt;=$B$11*12,G70&gt;0),MAX(C71-F71,0),"")</f>
        <v>427983.76668338</v>
      </c>
    </row>
    <row r="72" customFormat="false" ht="15" hidden="false" customHeight="false" outlineLevel="0" collapsed="false">
      <c r="A72" s="24" t="n">
        <f aca="false">IF(43&lt;=$B$11*12,43,"")</f>
        <v>43</v>
      </c>
      <c r="B72" s="25" t="n">
        <f aca="true">IF(43&lt;=$B$11*12,DATE(YEAR(TODAY()),MONTH(TODAY())+43,1),"")</f>
        <v>47423</v>
      </c>
      <c r="C72" s="26" t="n">
        <f aca="false">IF(43&lt;=$B$11*12,G71,"")</f>
        <v>427983.76668338</v>
      </c>
      <c r="D72" s="26" t="n">
        <f aca="false">IF(AND(43&lt;=$B$11*12,G71&gt;0),MIN($B$22,C72*(1+$B$18)),"")</f>
        <v>2695.71580825401</v>
      </c>
      <c r="E72" s="26" t="n">
        <f aca="false">IF(AND(43&lt;=$B$11*12,G71&gt;0),C72*$B$18,"")</f>
        <v>1761.47491108113</v>
      </c>
      <c r="F72" s="26" t="n">
        <f aca="false">IF(AND(43&lt;=$B$11*12,G71&gt;0),D72-E72,"")</f>
        <v>934.24089717288</v>
      </c>
      <c r="G72" s="26" t="n">
        <f aca="false">IF(AND(43&lt;=$B$11*12,G71&gt;0),MAX(C72-F72,0),"")</f>
        <v>427049.525786208</v>
      </c>
    </row>
    <row r="73" customFormat="false" ht="15" hidden="false" customHeight="false" outlineLevel="0" collapsed="false">
      <c r="A73" s="27" t="n">
        <f aca="false">IF(44&lt;=$B$11*12,44,"")</f>
        <v>44</v>
      </c>
      <c r="B73" s="28" t="n">
        <f aca="true">IF(44&lt;=$B$11*12,DATE(YEAR(TODAY()),MONTH(TODAY())+44,1),"")</f>
        <v>47453</v>
      </c>
      <c r="C73" s="29" t="n">
        <f aca="false">IF(44&lt;=$B$11*12,G72,"")</f>
        <v>427049.525786208</v>
      </c>
      <c r="D73" s="29" t="n">
        <f aca="false">IF(AND(44&lt;=$B$11*12,G72&gt;0),MIN($B$22,C73*(1+$B$18)),"")</f>
        <v>2695.71580825401</v>
      </c>
      <c r="E73" s="29" t="n">
        <f aca="false">IF(AND(44&lt;=$B$11*12,G72&gt;0),C73*$B$18,"")</f>
        <v>1757.62980752959</v>
      </c>
      <c r="F73" s="29" t="n">
        <f aca="false">IF(AND(44&lt;=$B$11*12,G72&gt;0),D73-E73,"")</f>
        <v>938.086000724421</v>
      </c>
      <c r="G73" s="29" t="n">
        <f aca="false">IF(AND(44&lt;=$B$11*12,G72&gt;0),MAX(C73-F73,0),"")</f>
        <v>426111.439785483</v>
      </c>
    </row>
    <row r="74" customFormat="false" ht="15" hidden="false" customHeight="false" outlineLevel="0" collapsed="false">
      <c r="A74" s="24" t="n">
        <f aca="false">IF(45&lt;=$B$11*12,45,"")</f>
        <v>45</v>
      </c>
      <c r="B74" s="25" t="n">
        <f aca="true">IF(45&lt;=$B$11*12,DATE(YEAR(TODAY()),MONTH(TODAY())+45,1),"")</f>
        <v>47484</v>
      </c>
      <c r="C74" s="26" t="n">
        <f aca="false">IF(45&lt;=$B$11*12,G73,"")</f>
        <v>426111.439785483</v>
      </c>
      <c r="D74" s="26" t="n">
        <f aca="false">IF(AND(45&lt;=$B$11*12,G73&gt;0),MIN($B$22,C74*(1+$B$18)),"")</f>
        <v>2695.71580825401</v>
      </c>
      <c r="E74" s="26" t="n">
        <f aca="false">IF(AND(45&lt;=$B$11*12,G73&gt;0),C74*$B$18,"")</f>
        <v>1753.76887848661</v>
      </c>
      <c r="F74" s="26" t="n">
        <f aca="false">IF(AND(45&lt;=$B$11*12,G73&gt;0),D74-E74,"")</f>
        <v>941.946929767403</v>
      </c>
      <c r="G74" s="26" t="n">
        <f aca="false">IF(AND(45&lt;=$B$11*12,G73&gt;0),MAX(C74-F74,0),"")</f>
        <v>425169.492855716</v>
      </c>
    </row>
    <row r="75" customFormat="false" ht="15" hidden="false" customHeight="false" outlineLevel="0" collapsed="false">
      <c r="A75" s="27" t="n">
        <f aca="false">IF(46&lt;=$B$11*12,46,"")</f>
        <v>46</v>
      </c>
      <c r="B75" s="28" t="n">
        <f aca="true">IF(46&lt;=$B$11*12,DATE(YEAR(TODAY()),MONTH(TODAY())+46,1),"")</f>
        <v>47515</v>
      </c>
      <c r="C75" s="29" t="n">
        <f aca="false">IF(46&lt;=$B$11*12,G74,"")</f>
        <v>425169.492855716</v>
      </c>
      <c r="D75" s="29" t="n">
        <f aca="false">IF(AND(46&lt;=$B$11*12,G74&gt;0),MIN($B$22,C75*(1+$B$18)),"")</f>
        <v>2695.71580825401</v>
      </c>
      <c r="E75" s="29" t="n">
        <f aca="false">IF(AND(46&lt;=$B$11*12,G74&gt;0),C75*$B$18,"")</f>
        <v>1749.89205881839</v>
      </c>
      <c r="F75" s="29" t="n">
        <f aca="false">IF(AND(46&lt;=$B$11*12,G74&gt;0),D75-E75,"")</f>
        <v>945.823749435618</v>
      </c>
      <c r="G75" s="29" t="n">
        <f aca="false">IF(AND(46&lt;=$B$11*12,G74&gt;0),MAX(C75-F75,0),"")</f>
        <v>424223.66910628</v>
      </c>
    </row>
    <row r="76" customFormat="false" ht="15" hidden="false" customHeight="false" outlineLevel="0" collapsed="false">
      <c r="A76" s="24" t="n">
        <f aca="false">IF(47&lt;=$B$11*12,47,"")</f>
        <v>47</v>
      </c>
      <c r="B76" s="25" t="n">
        <f aca="true">IF(47&lt;=$B$11*12,DATE(YEAR(TODAY()),MONTH(TODAY())+47,1),"")</f>
        <v>47543</v>
      </c>
      <c r="C76" s="26" t="n">
        <f aca="false">IF(47&lt;=$B$11*12,G75,"")</f>
        <v>424223.66910628</v>
      </c>
      <c r="D76" s="26" t="n">
        <f aca="false">IF(AND(47&lt;=$B$11*12,G75&gt;0),MIN($B$22,C76*(1+$B$18)),"")</f>
        <v>2695.71580825401</v>
      </c>
      <c r="E76" s="26" t="n">
        <f aca="false">IF(AND(47&lt;=$B$11*12,G75&gt;0),C76*$B$18,"")</f>
        <v>1745.99928312307</v>
      </c>
      <c r="F76" s="26" t="n">
        <f aca="false">IF(AND(47&lt;=$B$11*12,G75&gt;0),D76-E76,"")</f>
        <v>949.716525130936</v>
      </c>
      <c r="G76" s="26" t="n">
        <f aca="false">IF(AND(47&lt;=$B$11*12,G75&gt;0),MAX(C76-F76,0),"")</f>
        <v>423273.952581149</v>
      </c>
    </row>
    <row r="77" customFormat="false" ht="15" hidden="false" customHeight="false" outlineLevel="0" collapsed="false">
      <c r="A77" s="27" t="n">
        <f aca="false">IF(48&lt;=$B$11*12,48,"")</f>
        <v>48</v>
      </c>
      <c r="B77" s="28" t="n">
        <f aca="true">IF(48&lt;=$B$11*12,DATE(YEAR(TODAY()),MONTH(TODAY())+48,1),"")</f>
        <v>47574</v>
      </c>
      <c r="C77" s="29" t="n">
        <f aca="false">IF(48&lt;=$B$11*12,G76,"")</f>
        <v>423273.952581149</v>
      </c>
      <c r="D77" s="29" t="n">
        <f aca="false">IF(AND(48&lt;=$B$11*12,G76&gt;0),MIN($B$22,C77*(1+$B$18)),"")</f>
        <v>2695.71580825401</v>
      </c>
      <c r="E77" s="29" t="n">
        <f aca="false">IF(AND(48&lt;=$B$11*12,G76&gt;0),C77*$B$18,"")</f>
        <v>1742.09048572961</v>
      </c>
      <c r="F77" s="29" t="n">
        <f aca="false">IF(AND(48&lt;=$B$11*12,G76&gt;0),D77-E77,"")</f>
        <v>953.625322524401</v>
      </c>
      <c r="G77" s="29" t="n">
        <f aca="false">IF(AND(48&lt;=$B$11*12,G76&gt;0),MAX(C77-F77,0),"")</f>
        <v>422320.327258625</v>
      </c>
    </row>
    <row r="78" customFormat="false" ht="15" hidden="false" customHeight="false" outlineLevel="0" collapsed="false">
      <c r="A78" s="24" t="n">
        <f aca="false">IF(49&lt;=$B$11*12,49,"")</f>
        <v>49</v>
      </c>
      <c r="B78" s="25" t="n">
        <f aca="true">IF(49&lt;=$B$11*12,DATE(YEAR(TODAY()),MONTH(TODAY())+49,1),"")</f>
        <v>47604</v>
      </c>
      <c r="C78" s="26" t="n">
        <f aca="false">IF(49&lt;=$B$11*12,G77,"")</f>
        <v>422320.327258625</v>
      </c>
      <c r="D78" s="26" t="n">
        <f aca="false">IF(AND(49&lt;=$B$11*12,G77&gt;0),MIN($B$22,C78*(1+$B$18)),"")</f>
        <v>2695.71580825401</v>
      </c>
      <c r="E78" s="26" t="n">
        <f aca="false">IF(AND(49&lt;=$B$11*12,G77&gt;0),C78*$B$18,"")</f>
        <v>1738.16560069666</v>
      </c>
      <c r="F78" s="26" t="n">
        <f aca="false">IF(AND(49&lt;=$B$11*12,G77&gt;0),D78-E78,"")</f>
        <v>957.550207557344</v>
      </c>
      <c r="G78" s="26" t="n">
        <f aca="false">IF(AND(49&lt;=$B$11*12,G77&gt;0),MAX(C78-F78,0),"")</f>
        <v>421362.777051068</v>
      </c>
    </row>
    <row r="79" customFormat="false" ht="15" hidden="false" customHeight="false" outlineLevel="0" collapsed="false">
      <c r="A79" s="27" t="n">
        <f aca="false">IF(50&lt;=$B$11*12,50,"")</f>
        <v>50</v>
      </c>
      <c r="B79" s="28" t="n">
        <f aca="true">IF(50&lt;=$B$11*12,DATE(YEAR(TODAY()),MONTH(TODAY())+50,1),"")</f>
        <v>47635</v>
      </c>
      <c r="C79" s="29" t="n">
        <f aca="false">IF(50&lt;=$B$11*12,G78,"")</f>
        <v>421362.777051068</v>
      </c>
      <c r="D79" s="29" t="n">
        <f aca="false">IF(AND(50&lt;=$B$11*12,G78&gt;0),MIN($B$22,C79*(1+$B$18)),"")</f>
        <v>2695.71580825401</v>
      </c>
      <c r="E79" s="29" t="n">
        <f aca="false">IF(AND(50&lt;=$B$11*12,G78&gt;0),C79*$B$18,"")</f>
        <v>1734.22456181151</v>
      </c>
      <c r="F79" s="29" t="n">
        <f aca="false">IF(AND(50&lt;=$B$11*12,G78&gt;0),D79-E79,"")</f>
        <v>961.491246442495</v>
      </c>
      <c r="G79" s="29" t="n">
        <f aca="false">IF(AND(50&lt;=$B$11*12,G78&gt;0),MAX(C79-F79,0),"")</f>
        <v>420401.285804625</v>
      </c>
    </row>
    <row r="80" customFormat="false" ht="15" hidden="false" customHeight="false" outlineLevel="0" collapsed="false">
      <c r="A80" s="24" t="n">
        <f aca="false">IF(51&lt;=$B$11*12,51,"")</f>
        <v>51</v>
      </c>
      <c r="B80" s="25" t="n">
        <f aca="true">IF(51&lt;=$B$11*12,DATE(YEAR(TODAY()),MONTH(TODAY())+51,1),"")</f>
        <v>47665</v>
      </c>
      <c r="C80" s="26" t="n">
        <f aca="false">IF(51&lt;=$B$11*12,G79,"")</f>
        <v>420401.285804625</v>
      </c>
      <c r="D80" s="26" t="n">
        <f aca="false">IF(AND(51&lt;=$B$11*12,G79&gt;0),MIN($B$22,C80*(1+$B$18)),"")</f>
        <v>2695.71580825401</v>
      </c>
      <c r="E80" s="26" t="n">
        <f aca="false">IF(AND(51&lt;=$B$11*12,G79&gt;0),C80*$B$18,"")</f>
        <v>1730.26730258891</v>
      </c>
      <c r="F80" s="26" t="n">
        <f aca="false">IF(AND(51&lt;=$B$11*12,G79&gt;0),D80-E80,"")</f>
        <v>965.448505665099</v>
      </c>
      <c r="G80" s="26" t="n">
        <f aca="false">IF(AND(51&lt;=$B$11*12,G79&gt;0),MAX(C80-F80,0),"")</f>
        <v>419435.83729896</v>
      </c>
    </row>
    <row r="81" customFormat="false" ht="15" hidden="false" customHeight="false" outlineLevel="0" collapsed="false">
      <c r="A81" s="27" t="n">
        <f aca="false">IF(52&lt;=$B$11*12,52,"")</f>
        <v>52</v>
      </c>
      <c r="B81" s="28" t="n">
        <f aca="true">IF(52&lt;=$B$11*12,DATE(YEAR(TODAY()),MONTH(TODAY())+52,1),"")</f>
        <v>47696</v>
      </c>
      <c r="C81" s="29" t="n">
        <f aca="false">IF(52&lt;=$B$11*12,G80,"")</f>
        <v>419435.83729896</v>
      </c>
      <c r="D81" s="29" t="n">
        <f aca="false">IF(AND(52&lt;=$B$11*12,G80&gt;0),MIN($B$22,C81*(1+$B$18)),"")</f>
        <v>2695.71580825401</v>
      </c>
      <c r="E81" s="29" t="n">
        <f aca="false">IF(AND(52&lt;=$B$11*12,G80&gt;0),C81*$B$18,"")</f>
        <v>1726.29375626997</v>
      </c>
      <c r="F81" s="29" t="n">
        <f aca="false">IF(AND(52&lt;=$B$11*12,G80&gt;0),D81-E81,"")</f>
        <v>969.422051984037</v>
      </c>
      <c r="G81" s="29" t="n">
        <f aca="false">IF(AND(52&lt;=$B$11*12,G80&gt;0),MAX(C81-F81,0),"")</f>
        <v>418466.415246976</v>
      </c>
    </row>
    <row r="82" customFormat="false" ht="15" hidden="false" customHeight="false" outlineLevel="0" collapsed="false">
      <c r="A82" s="24" t="n">
        <f aca="false">IF(53&lt;=$B$11*12,53,"")</f>
        <v>53</v>
      </c>
      <c r="B82" s="25" t="n">
        <f aca="true">IF(53&lt;=$B$11*12,DATE(YEAR(TODAY()),MONTH(TODAY())+53,1),"")</f>
        <v>47727</v>
      </c>
      <c r="C82" s="26" t="n">
        <f aca="false">IF(53&lt;=$B$11*12,G81,"")</f>
        <v>418466.415246976</v>
      </c>
      <c r="D82" s="26" t="n">
        <f aca="false">IF(AND(53&lt;=$B$11*12,G81&gt;0),MIN($B$22,C82*(1+$B$18)),"")</f>
        <v>2695.71580825401</v>
      </c>
      <c r="E82" s="26" t="n">
        <f aca="false">IF(AND(53&lt;=$B$11*12,G81&gt;0),C82*$B$18,"")</f>
        <v>1722.30385582106</v>
      </c>
      <c r="F82" s="26" t="n">
        <f aca="false">IF(AND(53&lt;=$B$11*12,G81&gt;0),D82-E82,"")</f>
        <v>973.411952432953</v>
      </c>
      <c r="G82" s="26" t="n">
        <f aca="false">IF(AND(53&lt;=$B$11*12,G81&gt;0),MAX(C82-F82,0),"")</f>
        <v>417493.003294543</v>
      </c>
    </row>
    <row r="83" customFormat="false" ht="15" hidden="false" customHeight="false" outlineLevel="0" collapsed="false">
      <c r="A83" s="27" t="n">
        <f aca="false">IF(54&lt;=$B$11*12,54,"")</f>
        <v>54</v>
      </c>
      <c r="B83" s="28" t="n">
        <f aca="true">IF(54&lt;=$B$11*12,DATE(YEAR(TODAY()),MONTH(TODAY())+54,1),"")</f>
        <v>47757</v>
      </c>
      <c r="C83" s="29" t="n">
        <f aca="false">IF(54&lt;=$B$11*12,G82,"")</f>
        <v>417493.003294543</v>
      </c>
      <c r="D83" s="29" t="n">
        <f aca="false">IF(AND(54&lt;=$B$11*12,G82&gt;0),MIN($B$22,C83*(1+$B$18)),"")</f>
        <v>2695.71580825401</v>
      </c>
      <c r="E83" s="29" t="n">
        <f aca="false">IF(AND(54&lt;=$B$11*12,G82&gt;0),C83*$B$18,"")</f>
        <v>1718.29753393262</v>
      </c>
      <c r="F83" s="29" t="n">
        <f aca="false">IF(AND(54&lt;=$B$11*12,G82&gt;0),D83-E83,"")</f>
        <v>977.418274321385</v>
      </c>
      <c r="G83" s="29" t="n">
        <f aca="false">IF(AND(54&lt;=$B$11*12,G82&gt;0),MAX(C83-F83,0),"")</f>
        <v>416515.585020222</v>
      </c>
    </row>
    <row r="84" customFormat="false" ht="15" hidden="false" customHeight="false" outlineLevel="0" collapsed="false">
      <c r="A84" s="24" t="n">
        <f aca="false">IF(55&lt;=$B$11*12,55,"")</f>
        <v>55</v>
      </c>
      <c r="B84" s="25" t="n">
        <f aca="true">IF(55&lt;=$B$11*12,DATE(YEAR(TODAY()),MONTH(TODAY())+55,1),"")</f>
        <v>47788</v>
      </c>
      <c r="C84" s="26" t="n">
        <f aca="false">IF(55&lt;=$B$11*12,G83,"")</f>
        <v>416515.585020222</v>
      </c>
      <c r="D84" s="26" t="n">
        <f aca="false">IF(AND(55&lt;=$B$11*12,G83&gt;0),MIN($B$22,C84*(1+$B$18)),"")</f>
        <v>2695.71580825401</v>
      </c>
      <c r="E84" s="26" t="n">
        <f aca="false">IF(AND(55&lt;=$B$11*12,G83&gt;0),C84*$B$18,"")</f>
        <v>1714.27472301811</v>
      </c>
      <c r="F84" s="26" t="n">
        <f aca="false">IF(AND(55&lt;=$B$11*12,G83&gt;0),D84-E84,"")</f>
        <v>981.4410852359</v>
      </c>
      <c r="G84" s="26" t="n">
        <f aca="false">IF(AND(55&lt;=$B$11*12,G83&gt;0),MAX(C84-F84,0),"")</f>
        <v>415534.143934986</v>
      </c>
    </row>
    <row r="85" customFormat="false" ht="15" hidden="false" customHeight="false" outlineLevel="0" collapsed="false">
      <c r="A85" s="27" t="n">
        <f aca="false">IF(56&lt;=$B$11*12,56,"")</f>
        <v>56</v>
      </c>
      <c r="B85" s="28" t="n">
        <f aca="true">IF(56&lt;=$B$11*12,DATE(YEAR(TODAY()),MONTH(TODAY())+56,1),"")</f>
        <v>47818</v>
      </c>
      <c r="C85" s="29" t="n">
        <f aca="false">IF(56&lt;=$B$11*12,G84,"")</f>
        <v>415534.143934986</v>
      </c>
      <c r="D85" s="29" t="n">
        <f aca="false">IF(AND(56&lt;=$B$11*12,G84&gt;0),MIN($B$22,C85*(1+$B$18)),"")</f>
        <v>2695.71580825401</v>
      </c>
      <c r="E85" s="29" t="n">
        <f aca="false">IF(AND(56&lt;=$B$11*12,G84&gt;0),C85*$B$18,"")</f>
        <v>1710.23535521277</v>
      </c>
      <c r="F85" s="29" t="n">
        <f aca="false">IF(AND(56&lt;=$B$11*12,G84&gt;0),D85-E85,"")</f>
        <v>985.480453041236</v>
      </c>
      <c r="G85" s="29" t="n">
        <f aca="false">IF(AND(56&lt;=$B$11*12,G84&gt;0),MAX(C85-F85,0),"")</f>
        <v>414548.663481944</v>
      </c>
    </row>
    <row r="86" customFormat="false" ht="15" hidden="false" customHeight="false" outlineLevel="0" collapsed="false">
      <c r="A86" s="24" t="n">
        <f aca="false">IF(57&lt;=$B$11*12,57,"")</f>
        <v>57</v>
      </c>
      <c r="B86" s="25" t="n">
        <f aca="true">IF(57&lt;=$B$11*12,DATE(YEAR(TODAY()),MONTH(TODAY())+57,1),"")</f>
        <v>47849</v>
      </c>
      <c r="C86" s="26" t="n">
        <f aca="false">IF(57&lt;=$B$11*12,G85,"")</f>
        <v>414548.663481944</v>
      </c>
      <c r="D86" s="26" t="n">
        <f aca="false">IF(AND(57&lt;=$B$11*12,G85&gt;0),MIN($B$22,C86*(1+$B$18)),"")</f>
        <v>2695.71580825401</v>
      </c>
      <c r="E86" s="26" t="n">
        <f aca="false">IF(AND(57&lt;=$B$11*12,G85&gt;0),C86*$B$18,"")</f>
        <v>1706.17936237256</v>
      </c>
      <c r="F86" s="26" t="n">
        <f aca="false">IF(AND(57&lt;=$B$11*12,G85&gt;0),D86-E86,"")</f>
        <v>989.536445881444</v>
      </c>
      <c r="G86" s="26" t="n">
        <f aca="false">IF(AND(57&lt;=$B$11*12,G85&gt;0),MAX(C86-F86,0),"")</f>
        <v>413559.127036063</v>
      </c>
    </row>
    <row r="87" customFormat="false" ht="15" hidden="false" customHeight="false" outlineLevel="0" collapsed="false">
      <c r="A87" s="27" t="n">
        <f aca="false">IF(58&lt;=$B$11*12,58,"")</f>
        <v>58</v>
      </c>
      <c r="B87" s="28" t="n">
        <f aca="true">IF(58&lt;=$B$11*12,DATE(YEAR(TODAY()),MONTH(TODAY())+58,1),"")</f>
        <v>47880</v>
      </c>
      <c r="C87" s="29" t="n">
        <f aca="false">IF(58&lt;=$B$11*12,G86,"")</f>
        <v>413559.127036063</v>
      </c>
      <c r="D87" s="29" t="n">
        <f aca="false">IF(AND(58&lt;=$B$11*12,G86&gt;0),MIN($B$22,C87*(1+$B$18)),"")</f>
        <v>2695.71580825401</v>
      </c>
      <c r="E87" s="29" t="n">
        <f aca="false">IF(AND(58&lt;=$B$11*12,G86&gt;0),C87*$B$18,"")</f>
        <v>1702.10667607297</v>
      </c>
      <c r="F87" s="29" t="n">
        <f aca="false">IF(AND(58&lt;=$B$11*12,G86&gt;0),D87-E87,"")</f>
        <v>993.609132181039</v>
      </c>
      <c r="G87" s="29" t="n">
        <f aca="false">IF(AND(58&lt;=$B$11*12,G86&gt;0),MAX(C87-F87,0),"")</f>
        <v>412565.517903882</v>
      </c>
    </row>
    <row r="88" customFormat="false" ht="15" hidden="false" customHeight="false" outlineLevel="0" collapsed="false">
      <c r="A88" s="24" t="n">
        <f aca="false">IF(59&lt;=$B$11*12,59,"")</f>
        <v>59</v>
      </c>
      <c r="B88" s="25" t="n">
        <f aca="true">IF(59&lt;=$B$11*12,DATE(YEAR(TODAY()),MONTH(TODAY())+59,1),"")</f>
        <v>47908</v>
      </c>
      <c r="C88" s="26" t="n">
        <f aca="false">IF(59&lt;=$B$11*12,G87,"")</f>
        <v>412565.517903882</v>
      </c>
      <c r="D88" s="26" t="n">
        <f aca="false">IF(AND(59&lt;=$B$11*12,G87&gt;0),MIN($B$22,C88*(1+$B$18)),"")</f>
        <v>2695.71580825401</v>
      </c>
      <c r="E88" s="26" t="n">
        <f aca="false">IF(AND(59&lt;=$B$11*12,G87&gt;0),C88*$B$18,"")</f>
        <v>1698.01722760785</v>
      </c>
      <c r="F88" s="26" t="n">
        <f aca="false">IF(AND(59&lt;=$B$11*12,G87&gt;0),D88-E88,"")</f>
        <v>997.698580646156</v>
      </c>
      <c r="G88" s="26" t="n">
        <f aca="false">IF(AND(59&lt;=$B$11*12,G87&gt;0),MAX(C88-F88,0),"")</f>
        <v>411567.819323236</v>
      </c>
    </row>
    <row r="89" customFormat="false" ht="15" hidden="false" customHeight="false" outlineLevel="0" collapsed="false">
      <c r="A89" s="27" t="n">
        <f aca="false">IF(60&lt;=$B$11*12,60,"")</f>
        <v>60</v>
      </c>
      <c r="B89" s="28" t="n">
        <f aca="true">IF(60&lt;=$B$11*12,DATE(YEAR(TODAY()),MONTH(TODAY())+60,1),"")</f>
        <v>47939</v>
      </c>
      <c r="C89" s="29" t="n">
        <f aca="false">IF(60&lt;=$B$11*12,G88,"")</f>
        <v>411567.819323236</v>
      </c>
      <c r="D89" s="29" t="n">
        <f aca="false">IF(AND(60&lt;=$B$11*12,G88&gt;0),MIN($B$22,C89*(1+$B$18)),"")</f>
        <v>2695.71580825401</v>
      </c>
      <c r="E89" s="29" t="n">
        <f aca="false">IF(AND(60&lt;=$B$11*12,G88&gt;0),C89*$B$18,"")</f>
        <v>1693.9109479883</v>
      </c>
      <c r="F89" s="29" t="n">
        <f aca="false">IF(AND(60&lt;=$B$11*12,G88&gt;0),D89-E89,"")</f>
        <v>1001.8048602657</v>
      </c>
      <c r="G89" s="29" t="n">
        <f aca="false">IF(AND(60&lt;=$B$11*12,G88&gt;0),MAX(C89-F89,0),"")</f>
        <v>410566.01446297</v>
      </c>
    </row>
    <row r="90" customFormat="false" ht="15" hidden="false" customHeight="false" outlineLevel="0" collapsed="false">
      <c r="A90" s="24" t="n">
        <f aca="false">IF(61&lt;=$B$11*12,61,"")</f>
        <v>61</v>
      </c>
      <c r="B90" s="25" t="n">
        <f aca="true">IF(61&lt;=$B$11*12,DATE(YEAR(TODAY()),MONTH(TODAY())+61,1),"")</f>
        <v>47969</v>
      </c>
      <c r="C90" s="26" t="n">
        <f aca="false">IF(61&lt;=$B$11*12,G89,"")</f>
        <v>410566.01446297</v>
      </c>
      <c r="D90" s="26" t="n">
        <f aca="false">IF(AND(61&lt;=$B$11*12,G89&gt;0),MIN($B$22,C90*(1+$B$18)),"")</f>
        <v>2695.71580825401</v>
      </c>
      <c r="E90" s="26" t="n">
        <f aca="false">IF(AND(61&lt;=$B$11*12,G89&gt;0),C90*$B$18,"")</f>
        <v>1689.78776794147</v>
      </c>
      <c r="F90" s="26" t="n">
        <f aca="false">IF(AND(61&lt;=$B$11*12,G89&gt;0),D90-E90,"")</f>
        <v>1005.92804031254</v>
      </c>
      <c r="G90" s="26" t="n">
        <f aca="false">IF(AND(61&lt;=$B$11*12,G89&gt;0),MAX(C90-F90,0),"")</f>
        <v>409560.086422658</v>
      </c>
    </row>
    <row r="91" customFormat="false" ht="15" hidden="false" customHeight="false" outlineLevel="0" collapsed="false">
      <c r="A91" s="27" t="n">
        <f aca="false">IF(62&lt;=$B$11*12,62,"")</f>
        <v>62</v>
      </c>
      <c r="B91" s="28" t="n">
        <f aca="true">IF(62&lt;=$B$11*12,DATE(YEAR(TODAY()),MONTH(TODAY())+62,1),"")</f>
        <v>48000</v>
      </c>
      <c r="C91" s="29" t="n">
        <f aca="false">IF(62&lt;=$B$11*12,G90,"")</f>
        <v>409560.086422658</v>
      </c>
      <c r="D91" s="29" t="n">
        <f aca="false">IF(AND(62&lt;=$B$11*12,G90&gt;0),MIN($B$22,C91*(1+$B$18)),"")</f>
        <v>2695.71580825401</v>
      </c>
      <c r="E91" s="29" t="n">
        <f aca="false">IF(AND(62&lt;=$B$11*12,G90&gt;0),C91*$B$18,"")</f>
        <v>1685.64761790939</v>
      </c>
      <c r="F91" s="29" t="n">
        <f aca="false">IF(AND(62&lt;=$B$11*12,G90&gt;0),D91-E91,"")</f>
        <v>1010.06819034462</v>
      </c>
      <c r="G91" s="29" t="n">
        <f aca="false">IF(AND(62&lt;=$B$11*12,G90&gt;0),MAX(C91-F91,0),"")</f>
        <v>408550.018232313</v>
      </c>
    </row>
    <row r="92" customFormat="false" ht="15" hidden="false" customHeight="false" outlineLevel="0" collapsed="false">
      <c r="A92" s="24" t="n">
        <f aca="false">IF(63&lt;=$B$11*12,63,"")</f>
        <v>63</v>
      </c>
      <c r="B92" s="25" t="n">
        <f aca="true">IF(63&lt;=$B$11*12,DATE(YEAR(TODAY()),MONTH(TODAY())+63,1),"")</f>
        <v>48030</v>
      </c>
      <c r="C92" s="26" t="n">
        <f aca="false">IF(63&lt;=$B$11*12,G91,"")</f>
        <v>408550.018232313</v>
      </c>
      <c r="D92" s="26" t="n">
        <f aca="false">IF(AND(63&lt;=$B$11*12,G91&gt;0),MIN($B$22,C92*(1+$B$18)),"")</f>
        <v>2695.71580825401</v>
      </c>
      <c r="E92" s="26" t="n">
        <f aca="false">IF(AND(63&lt;=$B$11*12,G91&gt;0),C92*$B$18,"")</f>
        <v>1681.49042804782</v>
      </c>
      <c r="F92" s="26" t="n">
        <f aca="false">IF(AND(63&lt;=$B$11*12,G91&gt;0),D92-E92,"")</f>
        <v>1014.22538020619</v>
      </c>
      <c r="G92" s="26" t="n">
        <f aca="false">IF(AND(63&lt;=$B$11*12,G91&gt;0),MAX(C92-F92,0),"")</f>
        <v>407535.792852107</v>
      </c>
    </row>
    <row r="93" customFormat="false" ht="15" hidden="false" customHeight="false" outlineLevel="0" collapsed="false">
      <c r="A93" s="27" t="n">
        <f aca="false">IF(64&lt;=$B$11*12,64,"")</f>
        <v>64</v>
      </c>
      <c r="B93" s="28" t="n">
        <f aca="true">IF(64&lt;=$B$11*12,DATE(YEAR(TODAY()),MONTH(TODAY())+64,1),"")</f>
        <v>48061</v>
      </c>
      <c r="C93" s="29" t="n">
        <f aca="false">IF(64&lt;=$B$11*12,G92,"")</f>
        <v>407535.792852107</v>
      </c>
      <c r="D93" s="29" t="n">
        <f aca="false">IF(AND(64&lt;=$B$11*12,G92&gt;0),MIN($B$22,C93*(1+$B$18)),"")</f>
        <v>2695.71580825401</v>
      </c>
      <c r="E93" s="29" t="n">
        <f aca="false">IF(AND(64&lt;=$B$11*12,G92&gt;0),C93*$B$18,"")</f>
        <v>1677.31612822505</v>
      </c>
      <c r="F93" s="29" t="n">
        <f aca="false">IF(AND(64&lt;=$B$11*12,G92&gt;0),D93-E93,"")</f>
        <v>1018.39968002896</v>
      </c>
      <c r="G93" s="29" t="n">
        <f aca="false">IF(AND(64&lt;=$B$11*12,G92&gt;0),MAX(C93-F93,0),"")</f>
        <v>406517.393172078</v>
      </c>
    </row>
    <row r="94" customFormat="false" ht="15" hidden="false" customHeight="false" outlineLevel="0" collapsed="false">
      <c r="A94" s="24" t="n">
        <f aca="false">IF(65&lt;=$B$11*12,65,"")</f>
        <v>65</v>
      </c>
      <c r="B94" s="25" t="n">
        <f aca="true">IF(65&lt;=$B$11*12,DATE(YEAR(TODAY()),MONTH(TODAY())+65,1),"")</f>
        <v>48092</v>
      </c>
      <c r="C94" s="26" t="n">
        <f aca="false">IF(65&lt;=$B$11*12,G93,"")</f>
        <v>406517.393172078</v>
      </c>
      <c r="D94" s="26" t="n">
        <f aca="false">IF(AND(65&lt;=$B$11*12,G93&gt;0),MIN($B$22,C94*(1+$B$18)),"")</f>
        <v>2695.71580825401</v>
      </c>
      <c r="E94" s="26" t="n">
        <f aca="false">IF(AND(65&lt;=$B$11*12,G93&gt;0),C94*$B$18,"")</f>
        <v>1673.12464802073</v>
      </c>
      <c r="F94" s="26" t="n">
        <f aca="false">IF(AND(65&lt;=$B$11*12,G93&gt;0),D94-E94,"")</f>
        <v>1022.59116023328</v>
      </c>
      <c r="G94" s="26" t="n">
        <f aca="false">IF(AND(65&lt;=$B$11*12,G93&gt;0),MAX(C94-F94,0),"")</f>
        <v>405494.802011845</v>
      </c>
    </row>
    <row r="95" customFormat="false" ht="15" hidden="false" customHeight="false" outlineLevel="0" collapsed="false">
      <c r="A95" s="27" t="n">
        <f aca="false">IF(66&lt;=$B$11*12,66,"")</f>
        <v>66</v>
      </c>
      <c r="B95" s="28" t="n">
        <f aca="true">IF(66&lt;=$B$11*12,DATE(YEAR(TODAY()),MONTH(TODAY())+66,1),"")</f>
        <v>48122</v>
      </c>
      <c r="C95" s="29" t="n">
        <f aca="false">IF(66&lt;=$B$11*12,G94,"")</f>
        <v>405494.802011845</v>
      </c>
      <c r="D95" s="29" t="n">
        <f aca="false">IF(AND(66&lt;=$B$11*12,G94&gt;0),MIN($B$22,C95*(1+$B$18)),"")</f>
        <v>2695.71580825401</v>
      </c>
      <c r="E95" s="29" t="n">
        <f aca="false">IF(AND(66&lt;=$B$11*12,G94&gt;0),C95*$B$18,"")</f>
        <v>1668.91591672468</v>
      </c>
      <c r="F95" s="29" t="n">
        <f aca="false">IF(AND(66&lt;=$B$11*12,G94&gt;0),D95-E95,"")</f>
        <v>1026.79989152933</v>
      </c>
      <c r="G95" s="29" t="n">
        <f aca="false">IF(AND(66&lt;=$B$11*12,G94&gt;0),MAX(C95-F95,0),"")</f>
        <v>404468.002120315</v>
      </c>
    </row>
    <row r="96" customFormat="false" ht="15" hidden="false" customHeight="false" outlineLevel="0" collapsed="false">
      <c r="A96" s="24" t="n">
        <f aca="false">IF(67&lt;=$B$11*12,67,"")</f>
        <v>67</v>
      </c>
      <c r="B96" s="25" t="n">
        <f aca="true">IF(67&lt;=$B$11*12,DATE(YEAR(TODAY()),MONTH(TODAY())+67,1),"")</f>
        <v>48153</v>
      </c>
      <c r="C96" s="26" t="n">
        <f aca="false">IF(67&lt;=$B$11*12,G95,"")</f>
        <v>404468.002120315</v>
      </c>
      <c r="D96" s="26" t="n">
        <f aca="false">IF(AND(67&lt;=$B$11*12,G95&gt;0),MIN($B$22,C96*(1+$B$18)),"")</f>
        <v>2695.71580825401</v>
      </c>
      <c r="E96" s="26" t="n">
        <f aca="false">IF(AND(67&lt;=$B$11*12,G95&gt;0),C96*$B$18,"")</f>
        <v>1664.68986333567</v>
      </c>
      <c r="F96" s="26" t="n">
        <f aca="false">IF(AND(67&lt;=$B$11*12,G95&gt;0),D96-E96,"")</f>
        <v>1031.02594491833</v>
      </c>
      <c r="G96" s="26" t="n">
        <f aca="false">IF(AND(67&lt;=$B$11*12,G95&gt;0),MAX(C96-F96,0),"")</f>
        <v>403436.976175397</v>
      </c>
    </row>
    <row r="97" customFormat="false" ht="15" hidden="false" customHeight="false" outlineLevel="0" collapsed="false">
      <c r="A97" s="27" t="n">
        <f aca="false">IF(68&lt;=$B$11*12,68,"")</f>
        <v>68</v>
      </c>
      <c r="B97" s="28" t="n">
        <f aca="true">IF(68&lt;=$B$11*12,DATE(YEAR(TODAY()),MONTH(TODAY())+68,1),"")</f>
        <v>48183</v>
      </c>
      <c r="C97" s="29" t="n">
        <f aca="false">IF(68&lt;=$B$11*12,G96,"")</f>
        <v>403436.976175397</v>
      </c>
      <c r="D97" s="29" t="n">
        <f aca="false">IF(AND(68&lt;=$B$11*12,G96&gt;0),MIN($B$22,C97*(1+$B$18)),"")</f>
        <v>2695.71580825401</v>
      </c>
      <c r="E97" s="29" t="n">
        <f aca="false">IF(AND(68&lt;=$B$11*12,G96&gt;0),C97*$B$18,"")</f>
        <v>1660.44641656029</v>
      </c>
      <c r="F97" s="29" t="n">
        <f aca="false">IF(AND(68&lt;=$B$11*12,G96&gt;0),D97-E97,"")</f>
        <v>1035.26939169371</v>
      </c>
      <c r="G97" s="29" t="n">
        <f aca="false">IF(AND(68&lt;=$B$11*12,G96&gt;0),MAX(C97-F97,0),"")</f>
        <v>402401.706783703</v>
      </c>
    </row>
    <row r="98" customFormat="false" ht="15" hidden="false" customHeight="false" outlineLevel="0" collapsed="false">
      <c r="A98" s="24" t="n">
        <f aca="false">IF(69&lt;=$B$11*12,69,"")</f>
        <v>69</v>
      </c>
      <c r="B98" s="25" t="n">
        <f aca="true">IF(69&lt;=$B$11*12,DATE(YEAR(TODAY()),MONTH(TODAY())+69,1),"")</f>
        <v>48214</v>
      </c>
      <c r="C98" s="26" t="n">
        <f aca="false">IF(69&lt;=$B$11*12,G97,"")</f>
        <v>402401.706783703</v>
      </c>
      <c r="D98" s="26" t="n">
        <f aca="false">IF(AND(69&lt;=$B$11*12,G97&gt;0),MIN($B$22,C98*(1+$B$18)),"")</f>
        <v>2695.71580825401</v>
      </c>
      <c r="E98" s="26" t="n">
        <f aca="false">IF(AND(69&lt;=$B$11*12,G97&gt;0),C98*$B$18,"")</f>
        <v>1656.18550481168</v>
      </c>
      <c r="F98" s="26" t="n">
        <f aca="false">IF(AND(69&lt;=$B$11*12,G97&gt;0),D98-E98,"")</f>
        <v>1039.53030344233</v>
      </c>
      <c r="G98" s="26" t="n">
        <f aca="false">IF(AND(69&lt;=$B$11*12,G97&gt;0),MAX(C98-F98,0),"")</f>
        <v>401362.176480261</v>
      </c>
    </row>
    <row r="99" customFormat="false" ht="15" hidden="false" customHeight="false" outlineLevel="0" collapsed="false">
      <c r="A99" s="27" t="n">
        <f aca="false">IF(70&lt;=$B$11*12,70,"")</f>
        <v>70</v>
      </c>
      <c r="B99" s="28" t="n">
        <f aca="true">IF(70&lt;=$B$11*12,DATE(YEAR(TODAY()),MONTH(TODAY())+70,1),"")</f>
        <v>48245</v>
      </c>
      <c r="C99" s="29" t="n">
        <f aca="false">IF(70&lt;=$B$11*12,G98,"")</f>
        <v>401362.176480261</v>
      </c>
      <c r="D99" s="29" t="n">
        <f aca="false">IF(AND(70&lt;=$B$11*12,G98&gt;0),MIN($B$22,C99*(1+$B$18)),"")</f>
        <v>2695.71580825401</v>
      </c>
      <c r="E99" s="29" t="n">
        <f aca="false">IF(AND(70&lt;=$B$11*12,G98&gt;0),C99*$B$18,"")</f>
        <v>1651.90705620833</v>
      </c>
      <c r="F99" s="29" t="n">
        <f aca="false">IF(AND(70&lt;=$B$11*12,G98&gt;0),D99-E99,"")</f>
        <v>1043.80875204568</v>
      </c>
      <c r="G99" s="29" t="n">
        <f aca="false">IF(AND(70&lt;=$B$11*12,G98&gt;0),MAX(C99-F99,0),"")</f>
        <v>400318.367728215</v>
      </c>
    </row>
    <row r="100" customFormat="false" ht="15" hidden="false" customHeight="false" outlineLevel="0" collapsed="false">
      <c r="A100" s="24" t="n">
        <f aca="false">IF(71&lt;=$B$11*12,71,"")</f>
        <v>71</v>
      </c>
      <c r="B100" s="25" t="n">
        <f aca="true">IF(71&lt;=$B$11*12,DATE(YEAR(TODAY()),MONTH(TODAY())+71,1),"")</f>
        <v>48274</v>
      </c>
      <c r="C100" s="26" t="n">
        <f aca="false">IF(71&lt;=$B$11*12,G99,"")</f>
        <v>400318.367728215</v>
      </c>
      <c r="D100" s="26" t="n">
        <f aca="false">IF(AND(71&lt;=$B$11*12,G99&gt;0),MIN($B$22,C100*(1+$B$18)),"")</f>
        <v>2695.71580825401</v>
      </c>
      <c r="E100" s="26" t="n">
        <f aca="false">IF(AND(71&lt;=$B$11*12,G99&gt;0),C100*$B$18,"")</f>
        <v>1647.61099857291</v>
      </c>
      <c r="F100" s="26" t="n">
        <f aca="false">IF(AND(71&lt;=$B$11*12,G99&gt;0),D100-E100,"")</f>
        <v>1048.1048096811</v>
      </c>
      <c r="G100" s="26" t="n">
        <f aca="false">IF(AND(71&lt;=$B$11*12,G99&gt;0),MAX(C100-F100,0),"")</f>
        <v>399270.262918534</v>
      </c>
    </row>
    <row r="101" customFormat="false" ht="15" hidden="false" customHeight="false" outlineLevel="0" collapsed="false">
      <c r="A101" s="27" t="n">
        <f aca="false">IF(72&lt;=$B$11*12,72,"")</f>
        <v>72</v>
      </c>
      <c r="B101" s="28" t="n">
        <f aca="true">IF(72&lt;=$B$11*12,DATE(YEAR(TODAY()),MONTH(TODAY())+72,1),"")</f>
        <v>48305</v>
      </c>
      <c r="C101" s="29" t="n">
        <f aca="false">IF(72&lt;=$B$11*12,G100,"")</f>
        <v>399270.262918534</v>
      </c>
      <c r="D101" s="29" t="n">
        <f aca="false">IF(AND(72&lt;=$B$11*12,G100&gt;0),MIN($B$22,C101*(1+$B$18)),"")</f>
        <v>2695.71580825401</v>
      </c>
      <c r="E101" s="29" t="n">
        <f aca="false">IF(AND(72&lt;=$B$11*12,G100&gt;0),C101*$B$18,"")</f>
        <v>1643.29725943102</v>
      </c>
      <c r="F101" s="29" t="n">
        <f aca="false">IF(AND(72&lt;=$B$11*12,G100&gt;0),D101-E101,"")</f>
        <v>1052.41854882299</v>
      </c>
      <c r="G101" s="29" t="n">
        <f aca="false">IF(AND(72&lt;=$B$11*12,G100&gt;0),MAX(C101-F101,0),"")</f>
        <v>398217.844369711</v>
      </c>
    </row>
    <row r="102" customFormat="false" ht="15" hidden="false" customHeight="false" outlineLevel="0" collapsed="false">
      <c r="A102" s="24" t="n">
        <f aca="false">IF(73&lt;=$B$11*12,73,"")</f>
        <v>73</v>
      </c>
      <c r="B102" s="25" t="n">
        <f aca="true">IF(73&lt;=$B$11*12,DATE(YEAR(TODAY()),MONTH(TODAY())+73,1),"")</f>
        <v>48335</v>
      </c>
      <c r="C102" s="26" t="n">
        <f aca="false">IF(73&lt;=$B$11*12,G101,"")</f>
        <v>398217.844369711</v>
      </c>
      <c r="D102" s="26" t="n">
        <f aca="false">IF(AND(73&lt;=$B$11*12,G101&gt;0),MIN($B$22,C102*(1+$B$18)),"")</f>
        <v>2695.71580825401</v>
      </c>
      <c r="E102" s="26" t="n">
        <f aca="false">IF(AND(73&lt;=$B$11*12,G101&gt;0),C102*$B$18,"")</f>
        <v>1638.96576600996</v>
      </c>
      <c r="F102" s="26" t="n">
        <f aca="false">IF(AND(73&lt;=$B$11*12,G101&gt;0),D102-E102,"")</f>
        <v>1056.75004224405</v>
      </c>
      <c r="G102" s="26" t="n">
        <f aca="false">IF(AND(73&lt;=$B$11*12,G101&gt;0),MAX(C102-F102,0),"")</f>
        <v>397161.094327467</v>
      </c>
    </row>
    <row r="103" customFormat="false" ht="15" hidden="false" customHeight="false" outlineLevel="0" collapsed="false">
      <c r="A103" s="27" t="n">
        <f aca="false">IF(74&lt;=$B$11*12,74,"")</f>
        <v>74</v>
      </c>
      <c r="B103" s="28" t="n">
        <f aca="true">IF(74&lt;=$B$11*12,DATE(YEAR(TODAY()),MONTH(TODAY())+74,1),"")</f>
        <v>48366</v>
      </c>
      <c r="C103" s="29" t="n">
        <f aca="false">IF(74&lt;=$B$11*12,G102,"")</f>
        <v>397161.094327467</v>
      </c>
      <c r="D103" s="29" t="n">
        <f aca="false">IF(AND(74&lt;=$B$11*12,G102&gt;0),MIN($B$22,C103*(1+$B$18)),"")</f>
        <v>2695.71580825401</v>
      </c>
      <c r="E103" s="29" t="n">
        <f aca="false">IF(AND(74&lt;=$B$11*12,G102&gt;0),C103*$B$18,"")</f>
        <v>1634.61644523754</v>
      </c>
      <c r="F103" s="29" t="n">
        <f aca="false">IF(AND(74&lt;=$B$11*12,G102&gt;0),D103-E103,"")</f>
        <v>1061.09936301647</v>
      </c>
      <c r="G103" s="29" t="n">
        <f aca="false">IF(AND(74&lt;=$B$11*12,G102&gt;0),MAX(C103-F103,0),"")</f>
        <v>396099.994964451</v>
      </c>
    </row>
    <row r="104" customFormat="false" ht="15" hidden="false" customHeight="false" outlineLevel="0" collapsed="false">
      <c r="A104" s="24" t="n">
        <f aca="false">IF(75&lt;=$B$11*12,75,"")</f>
        <v>75</v>
      </c>
      <c r="B104" s="25" t="n">
        <f aca="true">IF(75&lt;=$B$11*12,DATE(YEAR(TODAY()),MONTH(TODAY())+75,1),"")</f>
        <v>48396</v>
      </c>
      <c r="C104" s="26" t="n">
        <f aca="false">IF(75&lt;=$B$11*12,G103,"")</f>
        <v>396099.994964451</v>
      </c>
      <c r="D104" s="26" t="n">
        <f aca="false">IF(AND(75&lt;=$B$11*12,G103&gt;0),MIN($B$22,C104*(1+$B$18)),"")</f>
        <v>2695.71580825401</v>
      </c>
      <c r="E104" s="26" t="n">
        <f aca="false">IF(AND(75&lt;=$B$11*12,G103&gt;0),C104*$B$18,"")</f>
        <v>1630.24922374079</v>
      </c>
      <c r="F104" s="26" t="n">
        <f aca="false">IF(AND(75&lt;=$B$11*12,G103&gt;0),D104-E104,"")</f>
        <v>1065.46658451322</v>
      </c>
      <c r="G104" s="26" t="n">
        <f aca="false">IF(AND(75&lt;=$B$11*12,G103&gt;0),MAX(C104-F104,0),"")</f>
        <v>395034.528379937</v>
      </c>
    </row>
    <row r="105" customFormat="false" ht="15" hidden="false" customHeight="false" outlineLevel="0" collapsed="false">
      <c r="A105" s="27" t="n">
        <f aca="false">IF(76&lt;=$B$11*12,76,"")</f>
        <v>76</v>
      </c>
      <c r="B105" s="28" t="n">
        <f aca="true">IF(76&lt;=$B$11*12,DATE(YEAR(TODAY()),MONTH(TODAY())+76,1),"")</f>
        <v>48427</v>
      </c>
      <c r="C105" s="29" t="n">
        <f aca="false">IF(76&lt;=$B$11*12,G104,"")</f>
        <v>395034.528379937</v>
      </c>
      <c r="D105" s="29" t="n">
        <f aca="false">IF(AND(76&lt;=$B$11*12,G104&gt;0),MIN($B$22,C105*(1+$B$18)),"")</f>
        <v>2695.71580825401</v>
      </c>
      <c r="E105" s="29" t="n">
        <f aca="false">IF(AND(76&lt;=$B$11*12,G104&gt;0),C105*$B$18,"")</f>
        <v>1625.86402784479</v>
      </c>
      <c r="F105" s="29" t="n">
        <f aca="false">IF(AND(76&lt;=$B$11*12,G104&gt;0),D105-E105,"")</f>
        <v>1069.85178040922</v>
      </c>
      <c r="G105" s="29" t="n">
        <f aca="false">IF(AND(76&lt;=$B$11*12,G104&gt;0),MAX(C105-F105,0),"")</f>
        <v>393964.676599528</v>
      </c>
    </row>
    <row r="106" customFormat="false" ht="15" hidden="false" customHeight="false" outlineLevel="0" collapsed="false">
      <c r="A106" s="24" t="n">
        <f aca="false">IF(77&lt;=$B$11*12,77,"")</f>
        <v>77</v>
      </c>
      <c r="B106" s="25" t="n">
        <f aca="true">IF(77&lt;=$B$11*12,DATE(YEAR(TODAY()),MONTH(TODAY())+77,1),"")</f>
        <v>48458</v>
      </c>
      <c r="C106" s="26" t="n">
        <f aca="false">IF(77&lt;=$B$11*12,G105,"")</f>
        <v>393964.676599528</v>
      </c>
      <c r="D106" s="26" t="n">
        <f aca="false">IF(AND(77&lt;=$B$11*12,G105&gt;0),MIN($B$22,C106*(1+$B$18)),"")</f>
        <v>2695.71580825401</v>
      </c>
      <c r="E106" s="26" t="n">
        <f aca="false">IF(AND(77&lt;=$B$11*12,G105&gt;0),C106*$B$18,"")</f>
        <v>1621.46078357137</v>
      </c>
      <c r="F106" s="26" t="n">
        <f aca="false">IF(AND(77&lt;=$B$11*12,G105&gt;0),D106-E106,"")</f>
        <v>1074.25502468264</v>
      </c>
      <c r="G106" s="26" t="n">
        <f aca="false">IF(AND(77&lt;=$B$11*12,G105&gt;0),MAX(C106-F106,0),"")</f>
        <v>392890.421574846</v>
      </c>
    </row>
    <row r="107" customFormat="false" ht="15" hidden="false" customHeight="false" outlineLevel="0" collapsed="false">
      <c r="A107" s="27" t="n">
        <f aca="false">IF(78&lt;=$B$11*12,78,"")</f>
        <v>78</v>
      </c>
      <c r="B107" s="28" t="n">
        <f aca="true">IF(78&lt;=$B$11*12,DATE(YEAR(TODAY()),MONTH(TODAY())+78,1),"")</f>
        <v>48488</v>
      </c>
      <c r="C107" s="29" t="n">
        <f aca="false">IF(78&lt;=$B$11*12,G106,"")</f>
        <v>392890.421574846</v>
      </c>
      <c r="D107" s="29" t="n">
        <f aca="false">IF(AND(78&lt;=$B$11*12,G106&gt;0),MIN($B$22,C107*(1+$B$18)),"")</f>
        <v>2695.71580825401</v>
      </c>
      <c r="E107" s="29" t="n">
        <f aca="false">IF(AND(78&lt;=$B$11*12,G106&gt;0),C107*$B$18,"")</f>
        <v>1617.03941663788</v>
      </c>
      <c r="F107" s="29" t="n">
        <f aca="false">IF(AND(78&lt;=$B$11*12,G106&gt;0),D107-E107,"")</f>
        <v>1078.67639161612</v>
      </c>
      <c r="G107" s="29" t="n">
        <f aca="false">IF(AND(78&lt;=$B$11*12,G106&gt;0),MAX(C107-F107,0),"")</f>
        <v>391811.745183229</v>
      </c>
    </row>
    <row r="108" customFormat="false" ht="15" hidden="false" customHeight="false" outlineLevel="0" collapsed="false">
      <c r="A108" s="24" t="n">
        <f aca="false">IF(79&lt;=$B$11*12,79,"")</f>
        <v>79</v>
      </c>
      <c r="B108" s="25" t="n">
        <f aca="true">IF(79&lt;=$B$11*12,DATE(YEAR(TODAY()),MONTH(TODAY())+79,1),"")</f>
        <v>48519</v>
      </c>
      <c r="C108" s="26" t="n">
        <f aca="false">IF(79&lt;=$B$11*12,G107,"")</f>
        <v>391811.745183229</v>
      </c>
      <c r="D108" s="26" t="n">
        <f aca="false">IF(AND(79&lt;=$B$11*12,G107&gt;0),MIN($B$22,C108*(1+$B$18)),"")</f>
        <v>2695.71580825401</v>
      </c>
      <c r="E108" s="26" t="n">
        <f aca="false">IF(AND(79&lt;=$B$11*12,G107&gt;0),C108*$B$18,"")</f>
        <v>1612.59985245597</v>
      </c>
      <c r="F108" s="26" t="n">
        <f aca="false">IF(AND(79&lt;=$B$11*12,G107&gt;0),D108-E108,"")</f>
        <v>1083.11595579804</v>
      </c>
      <c r="G108" s="26" t="n">
        <f aca="false">IF(AND(79&lt;=$B$11*12,G107&gt;0),MAX(C108-F108,0),"")</f>
        <v>390728.629227431</v>
      </c>
    </row>
    <row r="109" customFormat="false" ht="15" hidden="false" customHeight="false" outlineLevel="0" collapsed="false">
      <c r="A109" s="27" t="n">
        <f aca="false">IF(80&lt;=$B$11*12,80,"")</f>
        <v>80</v>
      </c>
      <c r="B109" s="28" t="n">
        <f aca="true">IF(80&lt;=$B$11*12,DATE(YEAR(TODAY()),MONTH(TODAY())+80,1),"")</f>
        <v>48549</v>
      </c>
      <c r="C109" s="29" t="n">
        <f aca="false">IF(80&lt;=$B$11*12,G108,"")</f>
        <v>390728.629227431</v>
      </c>
      <c r="D109" s="29" t="n">
        <f aca="false">IF(AND(80&lt;=$B$11*12,G108&gt;0),MIN($B$22,C109*(1+$B$18)),"")</f>
        <v>2695.71580825401</v>
      </c>
      <c r="E109" s="29" t="n">
        <f aca="false">IF(AND(80&lt;=$B$11*12,G108&gt;0),C109*$B$18,"")</f>
        <v>1608.14201613028</v>
      </c>
      <c r="F109" s="29" t="n">
        <f aca="false">IF(AND(80&lt;=$B$11*12,G108&gt;0),D109-E109,"")</f>
        <v>1087.57379212373</v>
      </c>
      <c r="G109" s="29" t="n">
        <f aca="false">IF(AND(80&lt;=$B$11*12,G108&gt;0),MAX(C109-F109,0),"")</f>
        <v>389641.055435308</v>
      </c>
    </row>
    <row r="110" customFormat="false" ht="15" hidden="false" customHeight="false" outlineLevel="0" collapsed="false">
      <c r="A110" s="24" t="n">
        <f aca="false">IF(81&lt;=$B$11*12,81,"")</f>
        <v>81</v>
      </c>
      <c r="B110" s="25" t="n">
        <f aca="true">IF(81&lt;=$B$11*12,DATE(YEAR(TODAY()),MONTH(TODAY())+81,1),"")</f>
        <v>48580</v>
      </c>
      <c r="C110" s="26" t="n">
        <f aca="false">IF(81&lt;=$B$11*12,G109,"")</f>
        <v>389641.055435308</v>
      </c>
      <c r="D110" s="26" t="n">
        <f aca="false">IF(AND(81&lt;=$B$11*12,G109&gt;0),MIN($B$22,C110*(1+$B$18)),"")</f>
        <v>2695.71580825401</v>
      </c>
      <c r="E110" s="26" t="n">
        <f aca="false">IF(AND(81&lt;=$B$11*12,G109&gt;0),C110*$B$18,"")</f>
        <v>1603.66583245719</v>
      </c>
      <c r="F110" s="26" t="n">
        <f aca="false">IF(AND(81&lt;=$B$11*12,G109&gt;0),D110-E110,"")</f>
        <v>1092.04997579682</v>
      </c>
      <c r="G110" s="26" t="n">
        <f aca="false">IF(AND(81&lt;=$B$11*12,G109&gt;0),MAX(C110-F110,0),"")</f>
        <v>388549.005459511</v>
      </c>
    </row>
    <row r="111" customFormat="false" ht="15" hidden="false" customHeight="false" outlineLevel="0" collapsed="false">
      <c r="A111" s="27" t="n">
        <f aca="false">IF(82&lt;=$B$11*12,82,"")</f>
        <v>82</v>
      </c>
      <c r="B111" s="28" t="n">
        <f aca="true">IF(82&lt;=$B$11*12,DATE(YEAR(TODAY()),MONTH(TODAY())+82,1),"")</f>
        <v>48611</v>
      </c>
      <c r="C111" s="29" t="n">
        <f aca="false">IF(82&lt;=$B$11*12,G110,"")</f>
        <v>388549.005459511</v>
      </c>
      <c r="D111" s="29" t="n">
        <f aca="false">IF(AND(82&lt;=$B$11*12,G110&gt;0),MIN($B$22,C111*(1+$B$18)),"")</f>
        <v>2695.71580825401</v>
      </c>
      <c r="E111" s="29" t="n">
        <f aca="false">IF(AND(82&lt;=$B$11*12,G110&gt;0),C111*$B$18,"")</f>
        <v>1599.17122592358</v>
      </c>
      <c r="F111" s="29" t="n">
        <f aca="false">IF(AND(82&lt;=$B$11*12,G110&gt;0),D111-E111,"")</f>
        <v>1096.54458233043</v>
      </c>
      <c r="G111" s="29" t="n">
        <f aca="false">IF(AND(82&lt;=$B$11*12,G110&gt;0),MAX(C111-F111,0),"")</f>
        <v>387452.46087718</v>
      </c>
    </row>
    <row r="112" customFormat="false" ht="15" hidden="false" customHeight="false" outlineLevel="0" collapsed="false">
      <c r="A112" s="24" t="n">
        <f aca="false">IF(83&lt;=$B$11*12,83,"")</f>
        <v>83</v>
      </c>
      <c r="B112" s="25" t="n">
        <f aca="true">IF(83&lt;=$B$11*12,DATE(YEAR(TODAY()),MONTH(TODAY())+83,1),"")</f>
        <v>48639</v>
      </c>
      <c r="C112" s="26" t="n">
        <f aca="false">IF(83&lt;=$B$11*12,G111,"")</f>
        <v>387452.46087718</v>
      </c>
      <c r="D112" s="26" t="n">
        <f aca="false">IF(AND(83&lt;=$B$11*12,G111&gt;0),MIN($B$22,C112*(1+$B$18)),"")</f>
        <v>2695.71580825401</v>
      </c>
      <c r="E112" s="26" t="n">
        <f aca="false">IF(AND(83&lt;=$B$11*12,G111&gt;0),C112*$B$18,"")</f>
        <v>1594.65812070553</v>
      </c>
      <c r="F112" s="26" t="n">
        <f aca="false">IF(AND(83&lt;=$B$11*12,G111&gt;0),D112-E112,"")</f>
        <v>1101.05768754847</v>
      </c>
      <c r="G112" s="26" t="n">
        <f aca="false">IF(AND(83&lt;=$B$11*12,G111&gt;0),MAX(C112-F112,0),"")</f>
        <v>386351.403189632</v>
      </c>
    </row>
    <row r="113" customFormat="false" ht="15" hidden="false" customHeight="false" outlineLevel="0" collapsed="false">
      <c r="A113" s="27" t="n">
        <f aca="false">IF(84&lt;=$B$11*12,84,"")</f>
        <v>84</v>
      </c>
      <c r="B113" s="28" t="n">
        <f aca="true">IF(84&lt;=$B$11*12,DATE(YEAR(TODAY()),MONTH(TODAY())+84,1),"")</f>
        <v>48670</v>
      </c>
      <c r="C113" s="29" t="n">
        <f aca="false">IF(84&lt;=$B$11*12,G112,"")</f>
        <v>386351.403189632</v>
      </c>
      <c r="D113" s="29" t="n">
        <f aca="false">IF(AND(84&lt;=$B$11*12,G112&gt;0),MIN($B$22,C113*(1+$B$18)),"")</f>
        <v>2695.71580825401</v>
      </c>
      <c r="E113" s="29" t="n">
        <f aca="false">IF(AND(84&lt;=$B$11*12,G112&gt;0),C113*$B$18,"")</f>
        <v>1590.12644066706</v>
      </c>
      <c r="F113" s="29" t="n">
        <f aca="false">IF(AND(84&lt;=$B$11*12,G112&gt;0),D113-E113,"")</f>
        <v>1105.58936758695</v>
      </c>
      <c r="G113" s="29" t="n">
        <f aca="false">IF(AND(84&lt;=$B$11*12,G112&gt;0),MAX(C113-F113,0),"")</f>
        <v>385245.813822045</v>
      </c>
    </row>
    <row r="114" customFormat="false" ht="15" hidden="false" customHeight="false" outlineLevel="0" collapsed="false">
      <c r="A114" s="24" t="n">
        <f aca="false">IF(85&lt;=$B$11*12,85,"")</f>
        <v>85</v>
      </c>
      <c r="B114" s="25" t="n">
        <f aca="true">IF(85&lt;=$B$11*12,DATE(YEAR(TODAY()),MONTH(TODAY())+85,1),"")</f>
        <v>48700</v>
      </c>
      <c r="C114" s="26" t="n">
        <f aca="false">IF(85&lt;=$B$11*12,G113,"")</f>
        <v>385245.813822045</v>
      </c>
      <c r="D114" s="26" t="n">
        <f aca="false">IF(AND(85&lt;=$B$11*12,G113&gt;0),MIN($B$22,C114*(1+$B$18)),"")</f>
        <v>2695.71580825401</v>
      </c>
      <c r="E114" s="26" t="n">
        <f aca="false">IF(AND(85&lt;=$B$11*12,G113&gt;0),C114*$B$18,"")</f>
        <v>1585.57610935881</v>
      </c>
      <c r="F114" s="26" t="n">
        <f aca="false">IF(AND(85&lt;=$B$11*12,G113&gt;0),D114-E114,"")</f>
        <v>1110.1396988952</v>
      </c>
      <c r="G114" s="26" t="n">
        <f aca="false">IF(AND(85&lt;=$B$11*12,G113&gt;0),MAX(C114-F114,0),"")</f>
        <v>384135.67412315</v>
      </c>
    </row>
    <row r="115" customFormat="false" ht="15" hidden="false" customHeight="false" outlineLevel="0" collapsed="false">
      <c r="A115" s="27" t="n">
        <f aca="false">IF(86&lt;=$B$11*12,86,"")</f>
        <v>86</v>
      </c>
      <c r="B115" s="28" t="n">
        <f aca="true">IF(86&lt;=$B$11*12,DATE(YEAR(TODAY()),MONTH(TODAY())+86,1),"")</f>
        <v>48731</v>
      </c>
      <c r="C115" s="29" t="n">
        <f aca="false">IF(86&lt;=$B$11*12,G114,"")</f>
        <v>384135.67412315</v>
      </c>
      <c r="D115" s="29" t="n">
        <f aca="false">IF(AND(86&lt;=$B$11*12,G114&gt;0),MIN($B$22,C115*(1+$B$18)),"")</f>
        <v>2695.71580825401</v>
      </c>
      <c r="E115" s="29" t="n">
        <f aca="false">IF(AND(86&lt;=$B$11*12,G114&gt;0),C115*$B$18,"")</f>
        <v>1581.00705001679</v>
      </c>
      <c r="F115" s="29" t="n">
        <f aca="false">IF(AND(86&lt;=$B$11*12,G114&gt;0),D115-E115,"")</f>
        <v>1114.70875823722</v>
      </c>
      <c r="G115" s="29" t="n">
        <f aca="false">IF(AND(86&lt;=$B$11*12,G114&gt;0),MAX(C115-F115,0),"")</f>
        <v>383020.965364913</v>
      </c>
    </row>
    <row r="116" customFormat="false" ht="15" hidden="false" customHeight="false" outlineLevel="0" collapsed="false">
      <c r="A116" s="24" t="n">
        <f aca="false">IF(87&lt;=$B$11*12,87,"")</f>
        <v>87</v>
      </c>
      <c r="B116" s="25" t="n">
        <f aca="true">IF(87&lt;=$B$11*12,DATE(YEAR(TODAY()),MONTH(TODAY())+87,1),"")</f>
        <v>48761</v>
      </c>
      <c r="C116" s="26" t="n">
        <f aca="false">IF(87&lt;=$B$11*12,G115,"")</f>
        <v>383020.965364913</v>
      </c>
      <c r="D116" s="26" t="n">
        <f aca="false">IF(AND(87&lt;=$B$11*12,G115&gt;0),MIN($B$22,C116*(1+$B$18)),"")</f>
        <v>2695.71580825401</v>
      </c>
      <c r="E116" s="26" t="n">
        <f aca="false">IF(AND(87&lt;=$B$11*12,G115&gt;0),C116*$B$18,"")</f>
        <v>1576.41918556105</v>
      </c>
      <c r="F116" s="26" t="n">
        <f aca="false">IF(AND(87&lt;=$B$11*12,G115&gt;0),D116-E116,"")</f>
        <v>1119.29662269295</v>
      </c>
      <c r="G116" s="26" t="n">
        <f aca="false">IF(AND(87&lt;=$B$11*12,G115&gt;0),MAX(C116-F116,0),"")</f>
        <v>381901.66874222</v>
      </c>
    </row>
    <row r="117" customFormat="false" ht="15" hidden="false" customHeight="false" outlineLevel="0" collapsed="false">
      <c r="A117" s="27" t="n">
        <f aca="false">IF(88&lt;=$B$11*12,88,"")</f>
        <v>88</v>
      </c>
      <c r="B117" s="28" t="n">
        <f aca="true">IF(88&lt;=$B$11*12,DATE(YEAR(TODAY()),MONTH(TODAY())+88,1),"")</f>
        <v>48792</v>
      </c>
      <c r="C117" s="29" t="n">
        <f aca="false">IF(88&lt;=$B$11*12,G116,"")</f>
        <v>381901.66874222</v>
      </c>
      <c r="D117" s="29" t="n">
        <f aca="false">IF(AND(88&lt;=$B$11*12,G116&gt;0),MIN($B$22,C117*(1+$B$18)),"")</f>
        <v>2695.71580825401</v>
      </c>
      <c r="E117" s="29" t="n">
        <f aca="false">IF(AND(88&lt;=$B$11*12,G116&gt;0),C117*$B$18,"")</f>
        <v>1571.81243859443</v>
      </c>
      <c r="F117" s="29" t="n">
        <f aca="false">IF(AND(88&lt;=$B$11*12,G116&gt;0),D117-E117,"")</f>
        <v>1123.90336965957</v>
      </c>
      <c r="G117" s="29" t="n">
        <f aca="false">IF(AND(88&lt;=$B$11*12,G116&gt;0),MAX(C117-F117,0),"")</f>
        <v>380777.76537256</v>
      </c>
    </row>
    <row r="118" customFormat="false" ht="15" hidden="false" customHeight="false" outlineLevel="0" collapsed="false">
      <c r="A118" s="24" t="n">
        <f aca="false">IF(89&lt;=$B$11*12,89,"")</f>
        <v>89</v>
      </c>
      <c r="B118" s="25" t="n">
        <f aca="true">IF(89&lt;=$B$11*12,DATE(YEAR(TODAY()),MONTH(TODAY())+89,1),"")</f>
        <v>48823</v>
      </c>
      <c r="C118" s="26" t="n">
        <f aca="false">IF(89&lt;=$B$11*12,G117,"")</f>
        <v>380777.76537256</v>
      </c>
      <c r="D118" s="26" t="n">
        <f aca="false">IF(AND(89&lt;=$B$11*12,G117&gt;0),MIN($B$22,C118*(1+$B$18)),"")</f>
        <v>2695.71580825401</v>
      </c>
      <c r="E118" s="26" t="n">
        <f aca="false">IF(AND(89&lt;=$B$11*12,G117&gt;0),C118*$B$18,"")</f>
        <v>1567.1867314012</v>
      </c>
      <c r="F118" s="26" t="n">
        <f aca="false">IF(AND(89&lt;=$B$11*12,G117&gt;0),D118-E118,"")</f>
        <v>1128.52907685281</v>
      </c>
      <c r="G118" s="26" t="n">
        <f aca="false">IF(AND(89&lt;=$B$11*12,G117&gt;0),MAX(C118-F118,0),"")</f>
        <v>379649.236295707</v>
      </c>
    </row>
    <row r="119" customFormat="false" ht="15" hidden="false" customHeight="false" outlineLevel="0" collapsed="false">
      <c r="A119" s="27" t="n">
        <f aca="false">IF(90&lt;=$B$11*12,90,"")</f>
        <v>90</v>
      </c>
      <c r="B119" s="28" t="n">
        <f aca="true">IF(90&lt;=$B$11*12,DATE(YEAR(TODAY()),MONTH(TODAY())+90,1),"")</f>
        <v>48853</v>
      </c>
      <c r="C119" s="29" t="n">
        <f aca="false">IF(90&lt;=$B$11*12,G118,"")</f>
        <v>379649.236295707</v>
      </c>
      <c r="D119" s="29" t="n">
        <f aca="false">IF(AND(90&lt;=$B$11*12,G118&gt;0),MIN($B$22,C119*(1+$B$18)),"")</f>
        <v>2695.71580825401</v>
      </c>
      <c r="E119" s="29" t="n">
        <f aca="false">IF(AND(90&lt;=$B$11*12,G118&gt;0),C119*$B$18,"")</f>
        <v>1562.54198594577</v>
      </c>
      <c r="F119" s="29" t="n">
        <f aca="false">IF(AND(90&lt;=$B$11*12,G118&gt;0),D119-E119,"")</f>
        <v>1133.17382230824</v>
      </c>
      <c r="G119" s="29" t="n">
        <f aca="false">IF(AND(90&lt;=$B$11*12,G118&gt;0),MAX(C119-F119,0),"")</f>
        <v>378516.062473399</v>
      </c>
    </row>
    <row r="120" customFormat="false" ht="15" hidden="false" customHeight="false" outlineLevel="0" collapsed="false">
      <c r="A120" s="24" t="n">
        <f aca="false">IF(91&lt;=$B$11*12,91,"")</f>
        <v>91</v>
      </c>
      <c r="B120" s="25" t="n">
        <f aca="true">IF(91&lt;=$B$11*12,DATE(YEAR(TODAY()),MONTH(TODAY())+91,1),"")</f>
        <v>48884</v>
      </c>
      <c r="C120" s="26" t="n">
        <f aca="false">IF(91&lt;=$B$11*12,G119,"")</f>
        <v>378516.062473399</v>
      </c>
      <c r="D120" s="26" t="n">
        <f aca="false">IF(AND(91&lt;=$B$11*12,G119&gt;0),MIN($B$22,C120*(1+$B$18)),"")</f>
        <v>2695.71580825401</v>
      </c>
      <c r="E120" s="26" t="n">
        <f aca="false">IF(AND(91&lt;=$B$11*12,G119&gt;0),C120*$B$18,"")</f>
        <v>1557.87812387137</v>
      </c>
      <c r="F120" s="26" t="n">
        <f aca="false">IF(AND(91&lt;=$B$11*12,G119&gt;0),D120-E120,"")</f>
        <v>1137.83768438263</v>
      </c>
      <c r="G120" s="26" t="n">
        <f aca="false">IF(AND(91&lt;=$B$11*12,G119&gt;0),MAX(C120-F120,0),"")</f>
        <v>377378.224789016</v>
      </c>
    </row>
    <row r="121" customFormat="false" ht="15" hidden="false" customHeight="false" outlineLevel="0" collapsed="false">
      <c r="A121" s="27" t="n">
        <f aca="false">IF(92&lt;=$B$11*12,92,"")</f>
        <v>92</v>
      </c>
      <c r="B121" s="28" t="n">
        <f aca="true">IF(92&lt;=$B$11*12,DATE(YEAR(TODAY()),MONTH(TODAY())+92,1),"")</f>
        <v>48914</v>
      </c>
      <c r="C121" s="29" t="n">
        <f aca="false">IF(92&lt;=$B$11*12,G120,"")</f>
        <v>377378.224789016</v>
      </c>
      <c r="D121" s="29" t="n">
        <f aca="false">IF(AND(92&lt;=$B$11*12,G120&gt;0),MIN($B$22,C121*(1+$B$18)),"")</f>
        <v>2695.71580825401</v>
      </c>
      <c r="E121" s="29" t="n">
        <f aca="false">IF(AND(92&lt;=$B$11*12,G120&gt;0),C121*$B$18,"")</f>
        <v>1553.19506649877</v>
      </c>
      <c r="F121" s="29" t="n">
        <f aca="false">IF(AND(92&lt;=$B$11*12,G120&gt;0),D121-E121,"")</f>
        <v>1142.52074175524</v>
      </c>
      <c r="G121" s="29" t="n">
        <f aca="false">IF(AND(92&lt;=$B$11*12,G120&gt;0),MAX(C121-F121,0),"")</f>
        <v>376235.704047261</v>
      </c>
    </row>
    <row r="122" customFormat="false" ht="15" hidden="false" customHeight="false" outlineLevel="0" collapsed="false">
      <c r="A122" s="24" t="n">
        <f aca="false">IF(93&lt;=$B$11*12,93,"")</f>
        <v>93</v>
      </c>
      <c r="B122" s="25" t="n">
        <f aca="true">IF(93&lt;=$B$11*12,DATE(YEAR(TODAY()),MONTH(TODAY())+93,1),"")</f>
        <v>48945</v>
      </c>
      <c r="C122" s="26" t="n">
        <f aca="false">IF(93&lt;=$B$11*12,G121,"")</f>
        <v>376235.704047261</v>
      </c>
      <c r="D122" s="26" t="n">
        <f aca="false">IF(AND(93&lt;=$B$11*12,G121&gt;0),MIN($B$22,C122*(1+$B$18)),"")</f>
        <v>2695.71580825401</v>
      </c>
      <c r="E122" s="26" t="n">
        <f aca="false">IF(AND(93&lt;=$B$11*12,G121&gt;0),C122*$B$18,"")</f>
        <v>1548.49273482486</v>
      </c>
      <c r="F122" s="26" t="n">
        <f aca="false">IF(AND(93&lt;=$B$11*12,G121&gt;0),D122-E122,"")</f>
        <v>1147.22307342914</v>
      </c>
      <c r="G122" s="26" t="n">
        <f aca="false">IF(AND(93&lt;=$B$11*12,G121&gt;0),MAX(C122-F122,0),"")</f>
        <v>375088.480973832</v>
      </c>
    </row>
    <row r="123" customFormat="false" ht="15" hidden="false" customHeight="false" outlineLevel="0" collapsed="false">
      <c r="A123" s="27" t="n">
        <f aca="false">IF(94&lt;=$B$11*12,94,"")</f>
        <v>94</v>
      </c>
      <c r="B123" s="28" t="n">
        <f aca="true">IF(94&lt;=$B$11*12,DATE(YEAR(TODAY()),MONTH(TODAY())+94,1),"")</f>
        <v>48976</v>
      </c>
      <c r="C123" s="29" t="n">
        <f aca="false">IF(94&lt;=$B$11*12,G122,"")</f>
        <v>375088.480973832</v>
      </c>
      <c r="D123" s="29" t="n">
        <f aca="false">IF(AND(94&lt;=$B$11*12,G122&gt;0),MIN($B$22,C123*(1+$B$18)),"")</f>
        <v>2695.71580825401</v>
      </c>
      <c r="E123" s="29" t="n">
        <f aca="false">IF(AND(94&lt;=$B$11*12,G122&gt;0),C123*$B$18,"")</f>
        <v>1543.77104952143</v>
      </c>
      <c r="F123" s="29" t="n">
        <f aca="false">IF(AND(94&lt;=$B$11*12,G122&gt;0),D123-E123,"")</f>
        <v>1151.94475873258</v>
      </c>
      <c r="G123" s="29" t="n">
        <f aca="false">IF(AND(94&lt;=$B$11*12,G122&gt;0),MAX(C123-F123,0),"")</f>
        <v>373936.536215099</v>
      </c>
    </row>
    <row r="124" customFormat="false" ht="15" hidden="false" customHeight="false" outlineLevel="0" collapsed="false">
      <c r="A124" s="24" t="n">
        <f aca="false">IF(95&lt;=$B$11*12,95,"")</f>
        <v>95</v>
      </c>
      <c r="B124" s="25" t="n">
        <f aca="true">IF(95&lt;=$B$11*12,DATE(YEAR(TODAY()),MONTH(TODAY())+95,1),"")</f>
        <v>49004</v>
      </c>
      <c r="C124" s="26" t="n">
        <f aca="false">IF(95&lt;=$B$11*12,G123,"")</f>
        <v>373936.536215099</v>
      </c>
      <c r="D124" s="26" t="n">
        <f aca="false">IF(AND(95&lt;=$B$11*12,G123&gt;0),MIN($B$22,C124*(1+$B$18)),"")</f>
        <v>2695.71580825401</v>
      </c>
      <c r="E124" s="26" t="n">
        <f aca="false">IF(AND(95&lt;=$B$11*12,G123&gt;0),C124*$B$18,"")</f>
        <v>1539.02993093372</v>
      </c>
      <c r="F124" s="26" t="n">
        <f aca="false">IF(AND(95&lt;=$B$11*12,G123&gt;0),D124-E124,"")</f>
        <v>1156.68587732029</v>
      </c>
      <c r="G124" s="26" t="n">
        <f aca="false">IF(AND(95&lt;=$B$11*12,G123&gt;0),MAX(C124-F124,0),"")</f>
        <v>372779.850337779</v>
      </c>
    </row>
    <row r="125" customFormat="false" ht="15" hidden="false" customHeight="false" outlineLevel="0" collapsed="false">
      <c r="A125" s="27" t="n">
        <f aca="false">IF(96&lt;=$B$11*12,96,"")</f>
        <v>96</v>
      </c>
      <c r="B125" s="28" t="n">
        <f aca="true">IF(96&lt;=$B$11*12,DATE(YEAR(TODAY()),MONTH(TODAY())+96,1),"")</f>
        <v>49035</v>
      </c>
      <c r="C125" s="29" t="n">
        <f aca="false">IF(96&lt;=$B$11*12,G124,"")</f>
        <v>372779.850337779</v>
      </c>
      <c r="D125" s="29" t="n">
        <f aca="false">IF(AND(96&lt;=$B$11*12,G124&gt;0),MIN($B$22,C125*(1+$B$18)),"")</f>
        <v>2695.71580825401</v>
      </c>
      <c r="E125" s="29" t="n">
        <f aca="false">IF(AND(96&lt;=$B$11*12,G124&gt;0),C125*$B$18,"")</f>
        <v>1534.26929907918</v>
      </c>
      <c r="F125" s="29" t="n">
        <f aca="false">IF(AND(96&lt;=$B$11*12,G124&gt;0),D125-E125,"")</f>
        <v>1161.44650917483</v>
      </c>
      <c r="G125" s="29" t="n">
        <f aca="false">IF(AND(96&lt;=$B$11*12,G124&gt;0),MAX(C125-F125,0),"")</f>
        <v>371618.403828604</v>
      </c>
    </row>
    <row r="126" customFormat="false" ht="15" hidden="false" customHeight="false" outlineLevel="0" collapsed="false">
      <c r="A126" s="24" t="n">
        <f aca="false">IF(97&lt;=$B$11*12,97,"")</f>
        <v>97</v>
      </c>
      <c r="B126" s="25" t="n">
        <f aca="true">IF(97&lt;=$B$11*12,DATE(YEAR(TODAY()),MONTH(TODAY())+97,1),"")</f>
        <v>49065</v>
      </c>
      <c r="C126" s="26" t="n">
        <f aca="false">IF(97&lt;=$B$11*12,G125,"")</f>
        <v>371618.403828604</v>
      </c>
      <c r="D126" s="26" t="n">
        <f aca="false">IF(AND(97&lt;=$B$11*12,G125&gt;0),MIN($B$22,C126*(1+$B$18)),"")</f>
        <v>2695.71580825401</v>
      </c>
      <c r="E126" s="26" t="n">
        <f aca="false">IF(AND(97&lt;=$B$11*12,G125&gt;0),C126*$B$18,"")</f>
        <v>1529.48907364603</v>
      </c>
      <c r="F126" s="26" t="n">
        <f aca="false">IF(AND(97&lt;=$B$11*12,G125&gt;0),D126-E126,"")</f>
        <v>1166.22673460798</v>
      </c>
      <c r="G126" s="26" t="n">
        <f aca="false">IF(AND(97&lt;=$B$11*12,G125&gt;0),MAX(C126-F126,0),"")</f>
        <v>370452.177093996</v>
      </c>
    </row>
    <row r="127" customFormat="false" ht="15" hidden="false" customHeight="false" outlineLevel="0" collapsed="false">
      <c r="A127" s="27" t="n">
        <f aca="false">IF(98&lt;=$B$11*12,98,"")</f>
        <v>98</v>
      </c>
      <c r="B127" s="28" t="n">
        <f aca="true">IF(98&lt;=$B$11*12,DATE(YEAR(TODAY()),MONTH(TODAY())+98,1),"")</f>
        <v>49096</v>
      </c>
      <c r="C127" s="29" t="n">
        <f aca="false">IF(98&lt;=$B$11*12,G126,"")</f>
        <v>370452.177093996</v>
      </c>
      <c r="D127" s="29" t="n">
        <f aca="false">IF(AND(98&lt;=$B$11*12,G126&gt;0),MIN($B$22,C127*(1+$B$18)),"")</f>
        <v>2695.71580825401</v>
      </c>
      <c r="E127" s="29" t="n">
        <f aca="false">IF(AND(98&lt;=$B$11*12,G126&gt;0),C127*$B$18,"")</f>
        <v>1524.68917399197</v>
      </c>
      <c r="F127" s="29" t="n">
        <f aca="false">IF(AND(98&lt;=$B$11*12,G126&gt;0),D127-E127,"")</f>
        <v>1171.02663426203</v>
      </c>
      <c r="G127" s="29" t="n">
        <f aca="false">IF(AND(98&lt;=$B$11*12,G126&gt;0),MAX(C127-F127,0),"")</f>
        <v>369281.150459734</v>
      </c>
    </row>
    <row r="128" customFormat="false" ht="15" hidden="false" customHeight="false" outlineLevel="0" collapsed="false">
      <c r="A128" s="24" t="n">
        <f aca="false">IF(99&lt;=$B$11*12,99,"")</f>
        <v>99</v>
      </c>
      <c r="B128" s="25" t="n">
        <f aca="true">IF(99&lt;=$B$11*12,DATE(YEAR(TODAY()),MONTH(TODAY())+99,1),"")</f>
        <v>49126</v>
      </c>
      <c r="C128" s="26" t="n">
        <f aca="false">IF(99&lt;=$B$11*12,G127,"")</f>
        <v>369281.150459734</v>
      </c>
      <c r="D128" s="26" t="n">
        <f aca="false">IF(AND(99&lt;=$B$11*12,G127&gt;0),MIN($B$22,C128*(1+$B$18)),"")</f>
        <v>2695.71580825401</v>
      </c>
      <c r="E128" s="26" t="n">
        <f aca="false">IF(AND(99&lt;=$B$11*12,G127&gt;0),C128*$B$18,"")</f>
        <v>1519.86951914281</v>
      </c>
      <c r="F128" s="26" t="n">
        <f aca="false">IF(AND(99&lt;=$B$11*12,G127&gt;0),D128-E128,"")</f>
        <v>1175.8462891112</v>
      </c>
      <c r="G128" s="26" t="n">
        <f aca="false">IF(AND(99&lt;=$B$11*12,G127&gt;0),MAX(C128-F128,0),"")</f>
        <v>368105.304170623</v>
      </c>
    </row>
    <row r="129" customFormat="false" ht="15" hidden="false" customHeight="false" outlineLevel="0" collapsed="false">
      <c r="A129" s="27" t="n">
        <f aca="false">IF(100&lt;=$B$11*12,100,"")</f>
        <v>100</v>
      </c>
      <c r="B129" s="28" t="n">
        <f aca="true">IF(100&lt;=$B$11*12,DATE(YEAR(TODAY()),MONTH(TODAY())+100,1),"")</f>
        <v>49157</v>
      </c>
      <c r="C129" s="29" t="n">
        <f aca="false">IF(100&lt;=$B$11*12,G128,"")</f>
        <v>368105.304170623</v>
      </c>
      <c r="D129" s="29" t="n">
        <f aca="false">IF(AND(100&lt;=$B$11*12,G128&gt;0),MIN($B$22,C129*(1+$B$18)),"")</f>
        <v>2695.71580825401</v>
      </c>
      <c r="E129" s="29" t="n">
        <f aca="false">IF(AND(100&lt;=$B$11*12,G128&gt;0),C129*$B$18,"")</f>
        <v>1515.03002779105</v>
      </c>
      <c r="F129" s="29" t="n">
        <f aca="false">IF(AND(100&lt;=$B$11*12,G128&gt;0),D129-E129,"")</f>
        <v>1180.68578046296</v>
      </c>
      <c r="G129" s="29" t="n">
        <f aca="false">IF(AND(100&lt;=$B$11*12,G128&gt;0),MAX(C129-F129,0),"")</f>
        <v>366924.61839016</v>
      </c>
    </row>
    <row r="130" customFormat="false" ht="15" hidden="false" customHeight="false" outlineLevel="0" collapsed="false">
      <c r="A130" s="24" t="n">
        <f aca="false">IF(101&lt;=$B$11*12,101,"")</f>
        <v>101</v>
      </c>
      <c r="B130" s="25" t="n">
        <f aca="true">IF(101&lt;=$B$11*12,DATE(YEAR(TODAY()),MONTH(TODAY())+101,1),"")</f>
        <v>49188</v>
      </c>
      <c r="C130" s="26" t="n">
        <f aca="false">IF(101&lt;=$B$11*12,G129,"")</f>
        <v>366924.61839016</v>
      </c>
      <c r="D130" s="26" t="n">
        <f aca="false">IF(AND(101&lt;=$B$11*12,G129&gt;0),MIN($B$22,C130*(1+$B$18)),"")</f>
        <v>2695.71580825401</v>
      </c>
      <c r="E130" s="26" t="n">
        <f aca="false">IF(AND(101&lt;=$B$11*12,G129&gt;0),C130*$B$18,"")</f>
        <v>1510.17061829458</v>
      </c>
      <c r="F130" s="26" t="n">
        <f aca="false">IF(AND(101&lt;=$B$11*12,G129&gt;0),D130-E130,"")</f>
        <v>1185.54518995943</v>
      </c>
      <c r="G130" s="26" t="n">
        <f aca="false">IF(AND(101&lt;=$B$11*12,G129&gt;0),MAX(C130-F130,0),"")</f>
        <v>365739.073200201</v>
      </c>
    </row>
    <row r="131" customFormat="false" ht="15" hidden="false" customHeight="false" outlineLevel="0" collapsed="false">
      <c r="A131" s="27" t="n">
        <f aca="false">IF(102&lt;=$B$11*12,102,"")</f>
        <v>102</v>
      </c>
      <c r="B131" s="28" t="n">
        <f aca="true">IF(102&lt;=$B$11*12,DATE(YEAR(TODAY()),MONTH(TODAY())+102,1),"")</f>
        <v>49218</v>
      </c>
      <c r="C131" s="29" t="n">
        <f aca="false">IF(102&lt;=$B$11*12,G130,"")</f>
        <v>365739.073200201</v>
      </c>
      <c r="D131" s="29" t="n">
        <f aca="false">IF(AND(102&lt;=$B$11*12,G130&gt;0),MIN($B$22,C131*(1+$B$18)),"")</f>
        <v>2695.71580825401</v>
      </c>
      <c r="E131" s="29" t="n">
        <f aca="false">IF(AND(102&lt;=$B$11*12,G130&gt;0),C131*$B$18,"")</f>
        <v>1505.29120867526</v>
      </c>
      <c r="F131" s="29" t="n">
        <f aca="false">IF(AND(102&lt;=$B$11*12,G130&gt;0),D131-E131,"")</f>
        <v>1190.42459957875</v>
      </c>
      <c r="G131" s="29" t="n">
        <f aca="false">IF(AND(102&lt;=$B$11*12,G130&gt;0),MAX(C131-F131,0),"")</f>
        <v>364548.648600622</v>
      </c>
    </row>
    <row r="132" customFormat="false" ht="15" hidden="false" customHeight="false" outlineLevel="0" collapsed="false">
      <c r="A132" s="24" t="n">
        <f aca="false">IF(103&lt;=$B$11*12,103,"")</f>
        <v>103</v>
      </c>
      <c r="B132" s="25" t="n">
        <f aca="true">IF(103&lt;=$B$11*12,DATE(YEAR(TODAY()),MONTH(TODAY())+103,1),"")</f>
        <v>49249</v>
      </c>
      <c r="C132" s="26" t="n">
        <f aca="false">IF(103&lt;=$B$11*12,G131,"")</f>
        <v>364548.648600622</v>
      </c>
      <c r="D132" s="26" t="n">
        <f aca="false">IF(AND(103&lt;=$B$11*12,G131&gt;0),MIN($B$22,C132*(1+$B$18)),"")</f>
        <v>2695.71580825401</v>
      </c>
      <c r="E132" s="26" t="n">
        <f aca="false">IF(AND(103&lt;=$B$11*12,G131&gt;0),C132*$B$18,"")</f>
        <v>1500.39171661756</v>
      </c>
      <c r="F132" s="26" t="n">
        <f aca="false">IF(AND(103&lt;=$B$11*12,G131&gt;0),D132-E132,"")</f>
        <v>1195.32409163645</v>
      </c>
      <c r="G132" s="26" t="n">
        <f aca="false">IF(AND(103&lt;=$B$11*12,G131&gt;0),MAX(C132-F132,0),"")</f>
        <v>363353.324508985</v>
      </c>
    </row>
    <row r="133" customFormat="false" ht="15" hidden="false" customHeight="false" outlineLevel="0" collapsed="false">
      <c r="A133" s="27" t="n">
        <f aca="false">IF(104&lt;=$B$11*12,104,"")</f>
        <v>104</v>
      </c>
      <c r="B133" s="28" t="n">
        <f aca="true">IF(104&lt;=$B$11*12,DATE(YEAR(TODAY()),MONTH(TODAY())+104,1),"")</f>
        <v>49279</v>
      </c>
      <c r="C133" s="29" t="n">
        <f aca="false">IF(104&lt;=$B$11*12,G132,"")</f>
        <v>363353.324508985</v>
      </c>
      <c r="D133" s="29" t="n">
        <f aca="false">IF(AND(104&lt;=$B$11*12,G132&gt;0),MIN($B$22,C133*(1+$B$18)),"")</f>
        <v>2695.71580825401</v>
      </c>
      <c r="E133" s="29" t="n">
        <f aca="false">IF(AND(104&lt;=$B$11*12,G132&gt;0),C133*$B$18,"")</f>
        <v>1495.47205946714</v>
      </c>
      <c r="F133" s="29" t="n">
        <f aca="false">IF(AND(104&lt;=$B$11*12,G132&gt;0),D133-E133,"")</f>
        <v>1200.24374878687</v>
      </c>
      <c r="G133" s="29" t="n">
        <f aca="false">IF(AND(104&lt;=$B$11*12,G132&gt;0),MAX(C133-F133,0),"")</f>
        <v>362153.080760199</v>
      </c>
    </row>
    <row r="134" customFormat="false" ht="15" hidden="false" customHeight="false" outlineLevel="0" collapsed="false">
      <c r="A134" s="24" t="n">
        <f aca="false">IF(105&lt;=$B$11*12,105,"")</f>
        <v>105</v>
      </c>
      <c r="B134" s="25" t="n">
        <f aca="true">IF(105&lt;=$B$11*12,DATE(YEAR(TODAY()),MONTH(TODAY())+105,1),"")</f>
        <v>49310</v>
      </c>
      <c r="C134" s="26" t="n">
        <f aca="false">IF(105&lt;=$B$11*12,G133,"")</f>
        <v>362153.080760199</v>
      </c>
      <c r="D134" s="26" t="n">
        <f aca="false">IF(AND(105&lt;=$B$11*12,G133&gt;0),MIN($B$22,C134*(1+$B$18)),"")</f>
        <v>2695.71580825401</v>
      </c>
      <c r="E134" s="26" t="n">
        <f aca="false">IF(AND(105&lt;=$B$11*12,G133&gt;0),C134*$B$18,"")</f>
        <v>1490.53215422948</v>
      </c>
      <c r="F134" s="26" t="n">
        <f aca="false">IF(AND(105&lt;=$B$11*12,G133&gt;0),D134-E134,"")</f>
        <v>1205.18365402453</v>
      </c>
      <c r="G134" s="26" t="n">
        <f aca="false">IF(AND(105&lt;=$B$11*12,G133&gt;0),MAX(C134-F134,0),"")</f>
        <v>360947.897106174</v>
      </c>
    </row>
    <row r="135" customFormat="false" ht="15" hidden="false" customHeight="false" outlineLevel="0" collapsed="false">
      <c r="A135" s="27" t="n">
        <f aca="false">IF(106&lt;=$B$11*12,106,"")</f>
        <v>106</v>
      </c>
      <c r="B135" s="28" t="n">
        <f aca="true">IF(106&lt;=$B$11*12,DATE(YEAR(TODAY()),MONTH(TODAY())+106,1),"")</f>
        <v>49341</v>
      </c>
      <c r="C135" s="29" t="n">
        <f aca="false">IF(106&lt;=$B$11*12,G134,"")</f>
        <v>360947.897106174</v>
      </c>
      <c r="D135" s="29" t="n">
        <f aca="false">IF(AND(106&lt;=$B$11*12,G134&gt;0),MIN($B$22,C135*(1+$B$18)),"")</f>
        <v>2695.71580825401</v>
      </c>
      <c r="E135" s="29" t="n">
        <f aca="false">IF(AND(106&lt;=$B$11*12,G134&gt;0),C135*$B$18,"")</f>
        <v>1485.5719175685</v>
      </c>
      <c r="F135" s="29" t="n">
        <f aca="false">IF(AND(106&lt;=$B$11*12,G134&gt;0),D135-E135,"")</f>
        <v>1210.14389068551</v>
      </c>
      <c r="G135" s="29" t="n">
        <f aca="false">IF(AND(106&lt;=$B$11*12,G134&gt;0),MAX(C135-F135,0),"")</f>
        <v>359737.753215489</v>
      </c>
    </row>
    <row r="136" customFormat="false" ht="15" hidden="false" customHeight="false" outlineLevel="0" collapsed="false">
      <c r="A136" s="24" t="n">
        <f aca="false">IF(107&lt;=$B$11*12,107,"")</f>
        <v>107</v>
      </c>
      <c r="B136" s="25" t="n">
        <f aca="true">IF(107&lt;=$B$11*12,DATE(YEAR(TODAY()),MONTH(TODAY())+107,1),"")</f>
        <v>49369</v>
      </c>
      <c r="C136" s="26" t="n">
        <f aca="false">IF(107&lt;=$B$11*12,G135,"")</f>
        <v>359737.753215489</v>
      </c>
      <c r="D136" s="26" t="n">
        <f aca="false">IF(AND(107&lt;=$B$11*12,G135&gt;0),MIN($B$22,C136*(1+$B$18)),"")</f>
        <v>2695.71580825401</v>
      </c>
      <c r="E136" s="26" t="n">
        <f aca="false">IF(AND(107&lt;=$B$11*12,G135&gt;0),C136*$B$18,"")</f>
        <v>1480.59126580509</v>
      </c>
      <c r="F136" s="26" t="n">
        <f aca="false">IF(AND(107&lt;=$B$11*12,G135&gt;0),D136-E136,"")</f>
        <v>1215.12454244892</v>
      </c>
      <c r="G136" s="26" t="n">
        <f aca="false">IF(AND(107&lt;=$B$11*12,G135&gt;0),MAX(C136-F136,0),"")</f>
        <v>358522.62867304</v>
      </c>
    </row>
    <row r="137" customFormat="false" ht="15" hidden="false" customHeight="false" outlineLevel="0" collapsed="false">
      <c r="A137" s="27" t="n">
        <f aca="false">IF(108&lt;=$B$11*12,108,"")</f>
        <v>108</v>
      </c>
      <c r="B137" s="28" t="n">
        <f aca="true">IF(108&lt;=$B$11*12,DATE(YEAR(TODAY()),MONTH(TODAY())+108,1),"")</f>
        <v>49400</v>
      </c>
      <c r="C137" s="29" t="n">
        <f aca="false">IF(108&lt;=$B$11*12,G136,"")</f>
        <v>358522.62867304</v>
      </c>
      <c r="D137" s="29" t="n">
        <f aca="false">IF(AND(108&lt;=$B$11*12,G136&gt;0),MIN($B$22,C137*(1+$B$18)),"")</f>
        <v>2695.71580825401</v>
      </c>
      <c r="E137" s="29" t="n">
        <f aca="false">IF(AND(108&lt;=$B$11*12,G136&gt;0),C137*$B$18,"")</f>
        <v>1475.59011491577</v>
      </c>
      <c r="F137" s="29" t="n">
        <f aca="false">IF(AND(108&lt;=$B$11*12,G136&gt;0),D137-E137,"")</f>
        <v>1220.12569333824</v>
      </c>
      <c r="G137" s="29" t="n">
        <f aca="false">IF(AND(108&lt;=$B$11*12,G136&gt;0),MAX(C137-F137,0),"")</f>
        <v>357302.502979701</v>
      </c>
    </row>
    <row r="138" customFormat="false" ht="15" hidden="false" customHeight="false" outlineLevel="0" collapsed="false">
      <c r="A138" s="24" t="n">
        <f aca="false">IF(109&lt;=$B$11*12,109,"")</f>
        <v>109</v>
      </c>
      <c r="B138" s="25" t="n">
        <f aca="true">IF(109&lt;=$B$11*12,DATE(YEAR(TODAY()),MONTH(TODAY())+109,1),"")</f>
        <v>49430</v>
      </c>
      <c r="C138" s="26" t="n">
        <f aca="false">IF(109&lt;=$B$11*12,G137,"")</f>
        <v>357302.502979701</v>
      </c>
      <c r="D138" s="26" t="n">
        <f aca="false">IF(AND(109&lt;=$B$11*12,G137&gt;0),MIN($B$22,C138*(1+$B$18)),"")</f>
        <v>2695.71580825401</v>
      </c>
      <c r="E138" s="26" t="n">
        <f aca="false">IF(AND(109&lt;=$B$11*12,G137&gt;0),C138*$B$18,"")</f>
        <v>1470.56838053123</v>
      </c>
      <c r="F138" s="26" t="n">
        <f aca="false">IF(AND(109&lt;=$B$11*12,G137&gt;0),D138-E138,"")</f>
        <v>1225.14742772278</v>
      </c>
      <c r="G138" s="26" t="n">
        <f aca="false">IF(AND(109&lt;=$B$11*12,G137&gt;0),MAX(C138-F138,0),"")</f>
        <v>356077.355551979</v>
      </c>
    </row>
    <row r="139" customFormat="false" ht="15" hidden="false" customHeight="false" outlineLevel="0" collapsed="false">
      <c r="A139" s="27" t="n">
        <f aca="false">IF(110&lt;=$B$11*12,110,"")</f>
        <v>110</v>
      </c>
      <c r="B139" s="28" t="n">
        <f aca="true">IF(110&lt;=$B$11*12,DATE(YEAR(TODAY()),MONTH(TODAY())+110,1),"")</f>
        <v>49461</v>
      </c>
      <c r="C139" s="29" t="n">
        <f aca="false">IF(110&lt;=$B$11*12,G138,"")</f>
        <v>356077.355551979</v>
      </c>
      <c r="D139" s="29" t="n">
        <f aca="false">IF(AND(110&lt;=$B$11*12,G138&gt;0),MIN($B$22,C139*(1+$B$18)),"")</f>
        <v>2695.71580825401</v>
      </c>
      <c r="E139" s="29" t="n">
        <f aca="false">IF(AND(110&lt;=$B$11*12,G138&gt;0),C139*$B$18,"")</f>
        <v>1465.5259779349</v>
      </c>
      <c r="F139" s="29" t="n">
        <f aca="false">IF(AND(110&lt;=$B$11*12,G138&gt;0),D139-E139,"")</f>
        <v>1230.1898303191</v>
      </c>
      <c r="G139" s="29" t="n">
        <f aca="false">IF(AND(110&lt;=$B$11*12,G138&gt;0),MAX(C139-F139,0),"")</f>
        <v>354847.16572166</v>
      </c>
    </row>
    <row r="140" customFormat="false" ht="15" hidden="false" customHeight="false" outlineLevel="0" collapsed="false">
      <c r="A140" s="24" t="n">
        <f aca="false">IF(111&lt;=$B$11*12,111,"")</f>
        <v>111</v>
      </c>
      <c r="B140" s="25" t="n">
        <f aca="true">IF(111&lt;=$B$11*12,DATE(YEAR(TODAY()),MONTH(TODAY())+111,1),"")</f>
        <v>49491</v>
      </c>
      <c r="C140" s="26" t="n">
        <f aca="false">IF(111&lt;=$B$11*12,G139,"")</f>
        <v>354847.16572166</v>
      </c>
      <c r="D140" s="26" t="n">
        <f aca="false">IF(AND(111&lt;=$B$11*12,G139&gt;0),MIN($B$22,C140*(1+$B$18)),"")</f>
        <v>2695.71580825401</v>
      </c>
      <c r="E140" s="26" t="n">
        <f aca="false">IF(AND(111&lt;=$B$11*12,G139&gt;0),C140*$B$18,"")</f>
        <v>1460.46282206157</v>
      </c>
      <c r="F140" s="26" t="n">
        <f aca="false">IF(AND(111&lt;=$B$11*12,G139&gt;0),D140-E140,"")</f>
        <v>1235.25298619244</v>
      </c>
      <c r="G140" s="26" t="n">
        <f aca="false">IF(AND(111&lt;=$B$11*12,G139&gt;0),MAX(C140-F140,0),"")</f>
        <v>353611.912735467</v>
      </c>
    </row>
    <row r="141" customFormat="false" ht="15" hidden="false" customHeight="false" outlineLevel="0" collapsed="false">
      <c r="A141" s="27" t="n">
        <f aca="false">IF(112&lt;=$B$11*12,112,"")</f>
        <v>112</v>
      </c>
      <c r="B141" s="28" t="n">
        <f aca="true">IF(112&lt;=$B$11*12,DATE(YEAR(TODAY()),MONTH(TODAY())+112,1),"")</f>
        <v>49522</v>
      </c>
      <c r="C141" s="29" t="n">
        <f aca="false">IF(112&lt;=$B$11*12,G140,"")</f>
        <v>353611.912735467</v>
      </c>
      <c r="D141" s="29" t="n">
        <f aca="false">IF(AND(112&lt;=$B$11*12,G140&gt;0),MIN($B$22,C141*(1+$B$18)),"")</f>
        <v>2695.71580825401</v>
      </c>
      <c r="E141" s="29" t="n">
        <f aca="false">IF(AND(112&lt;=$B$11*12,G140&gt;0),C141*$B$18,"")</f>
        <v>1455.37882749589</v>
      </c>
      <c r="F141" s="29" t="n">
        <f aca="false">IF(AND(112&lt;=$B$11*12,G140&gt;0),D141-E141,"")</f>
        <v>1240.33698075811</v>
      </c>
      <c r="G141" s="29" t="n">
        <f aca="false">IF(AND(112&lt;=$B$11*12,G140&gt;0),MAX(C141-F141,0),"")</f>
        <v>352371.575754709</v>
      </c>
    </row>
    <row r="142" customFormat="false" ht="15" hidden="false" customHeight="false" outlineLevel="0" collapsed="false">
      <c r="A142" s="24" t="n">
        <f aca="false">IF(113&lt;=$B$11*12,113,"")</f>
        <v>113</v>
      </c>
      <c r="B142" s="25" t="n">
        <f aca="true">IF(113&lt;=$B$11*12,DATE(YEAR(TODAY()),MONTH(TODAY())+113,1),"")</f>
        <v>49553</v>
      </c>
      <c r="C142" s="26" t="n">
        <f aca="false">IF(113&lt;=$B$11*12,G141,"")</f>
        <v>352371.575754709</v>
      </c>
      <c r="D142" s="26" t="n">
        <f aca="false">IF(AND(113&lt;=$B$11*12,G141&gt;0),MIN($B$22,C142*(1+$B$18)),"")</f>
        <v>2695.71580825401</v>
      </c>
      <c r="E142" s="26" t="n">
        <f aca="false">IF(AND(113&lt;=$B$11*12,G141&gt;0),C142*$B$18,"")</f>
        <v>1450.27390847099</v>
      </c>
      <c r="F142" s="26" t="n">
        <f aca="false">IF(AND(113&lt;=$B$11*12,G141&gt;0),D142-E142,"")</f>
        <v>1245.44189978302</v>
      </c>
      <c r="G142" s="26" t="n">
        <f aca="false">IF(AND(113&lt;=$B$11*12,G141&gt;0),MAX(C142-F142,0),"")</f>
        <v>351126.133854926</v>
      </c>
    </row>
    <row r="143" customFormat="false" ht="15" hidden="false" customHeight="false" outlineLevel="0" collapsed="false">
      <c r="A143" s="27" t="n">
        <f aca="false">IF(114&lt;=$B$11*12,114,"")</f>
        <v>114</v>
      </c>
      <c r="B143" s="28" t="n">
        <f aca="true">IF(114&lt;=$B$11*12,DATE(YEAR(TODAY()),MONTH(TODAY())+114,1),"")</f>
        <v>49583</v>
      </c>
      <c r="C143" s="29" t="n">
        <f aca="false">IF(114&lt;=$B$11*12,G142,"")</f>
        <v>351126.133854926</v>
      </c>
      <c r="D143" s="29" t="n">
        <f aca="false">IF(AND(114&lt;=$B$11*12,G142&gt;0),MIN($B$22,C143*(1+$B$18)),"")</f>
        <v>2695.71580825401</v>
      </c>
      <c r="E143" s="29" t="n">
        <f aca="false">IF(AND(114&lt;=$B$11*12,G142&gt;0),C143*$B$18,"")</f>
        <v>1445.14797886698</v>
      </c>
      <c r="F143" s="29" t="n">
        <f aca="false">IF(AND(114&lt;=$B$11*12,G142&gt;0),D143-E143,"")</f>
        <v>1250.56782938702</v>
      </c>
      <c r="G143" s="29" t="n">
        <f aca="false">IF(AND(114&lt;=$B$11*12,G142&gt;0),MAX(C143-F143,0),"")</f>
        <v>349875.566025539</v>
      </c>
    </row>
    <row r="144" customFormat="false" ht="15" hidden="false" customHeight="false" outlineLevel="0" collapsed="false">
      <c r="A144" s="24" t="n">
        <f aca="false">IF(115&lt;=$B$11*12,115,"")</f>
        <v>115</v>
      </c>
      <c r="B144" s="25" t="n">
        <f aca="true">IF(115&lt;=$B$11*12,DATE(YEAR(TODAY()),MONTH(TODAY())+115,1),"")</f>
        <v>49614</v>
      </c>
      <c r="C144" s="26" t="n">
        <f aca="false">IF(115&lt;=$B$11*12,G143,"")</f>
        <v>349875.566025539</v>
      </c>
      <c r="D144" s="26" t="n">
        <f aca="false">IF(AND(115&lt;=$B$11*12,G143&gt;0),MIN($B$22,C144*(1+$B$18)),"")</f>
        <v>2695.71580825401</v>
      </c>
      <c r="E144" s="26" t="n">
        <f aca="false">IF(AND(115&lt;=$B$11*12,G143&gt;0),C144*$B$18,"")</f>
        <v>1440.00095220954</v>
      </c>
      <c r="F144" s="26" t="n">
        <f aca="false">IF(AND(115&lt;=$B$11*12,G143&gt;0),D144-E144,"")</f>
        <v>1255.71485604446</v>
      </c>
      <c r="G144" s="26" t="n">
        <f aca="false">IF(AND(115&lt;=$B$11*12,G143&gt;0),MAX(C144-F144,0),"")</f>
        <v>348619.851169495</v>
      </c>
    </row>
    <row r="145" customFormat="false" ht="15" hidden="false" customHeight="false" outlineLevel="0" collapsed="false">
      <c r="A145" s="27" t="n">
        <f aca="false">IF(116&lt;=$B$11*12,116,"")</f>
        <v>116</v>
      </c>
      <c r="B145" s="28" t="n">
        <f aca="true">IF(116&lt;=$B$11*12,DATE(YEAR(TODAY()),MONTH(TODAY())+116,1),"")</f>
        <v>49644</v>
      </c>
      <c r="C145" s="29" t="n">
        <f aca="false">IF(116&lt;=$B$11*12,G144,"")</f>
        <v>348619.851169495</v>
      </c>
      <c r="D145" s="29" t="n">
        <f aca="false">IF(AND(116&lt;=$B$11*12,G144&gt;0),MIN($B$22,C145*(1+$B$18)),"")</f>
        <v>2695.71580825401</v>
      </c>
      <c r="E145" s="29" t="n">
        <f aca="false">IF(AND(116&lt;=$B$11*12,G144&gt;0),C145*$B$18,"")</f>
        <v>1434.83274166844</v>
      </c>
      <c r="F145" s="29" t="n">
        <f aca="false">IF(AND(116&lt;=$B$11*12,G144&gt;0),D145-E145,"")</f>
        <v>1260.88306658557</v>
      </c>
      <c r="G145" s="29" t="n">
        <f aca="false">IF(AND(116&lt;=$B$11*12,G144&gt;0),MAX(C145-F145,0),"")</f>
        <v>347358.968102909</v>
      </c>
    </row>
    <row r="146" customFormat="false" ht="15" hidden="false" customHeight="false" outlineLevel="0" collapsed="false">
      <c r="A146" s="24" t="n">
        <f aca="false">IF(117&lt;=$B$11*12,117,"")</f>
        <v>117</v>
      </c>
      <c r="B146" s="25" t="n">
        <f aca="true">IF(117&lt;=$B$11*12,DATE(YEAR(TODAY()),MONTH(TODAY())+117,1),"")</f>
        <v>49675</v>
      </c>
      <c r="C146" s="26" t="n">
        <f aca="false">IF(117&lt;=$B$11*12,G145,"")</f>
        <v>347358.968102909</v>
      </c>
      <c r="D146" s="26" t="n">
        <f aca="false">IF(AND(117&lt;=$B$11*12,G145&gt;0),MIN($B$22,C146*(1+$B$18)),"")</f>
        <v>2695.71580825401</v>
      </c>
      <c r="E146" s="26" t="n">
        <f aca="false">IF(AND(117&lt;=$B$11*12,G145&gt;0),C146*$B$18,"")</f>
        <v>1429.64326005607</v>
      </c>
      <c r="F146" s="26" t="n">
        <f aca="false">IF(AND(117&lt;=$B$11*12,G145&gt;0),D146-E146,"")</f>
        <v>1266.07254819794</v>
      </c>
      <c r="G146" s="26" t="n">
        <f aca="false">IF(AND(117&lt;=$B$11*12,G145&gt;0),MAX(C146-F146,0),"")</f>
        <v>346092.895554711</v>
      </c>
    </row>
    <row r="147" customFormat="false" ht="15" hidden="false" customHeight="false" outlineLevel="0" collapsed="false">
      <c r="A147" s="27" t="n">
        <f aca="false">IF(118&lt;=$B$11*12,118,"")</f>
        <v>118</v>
      </c>
      <c r="B147" s="28" t="n">
        <f aca="true">IF(118&lt;=$B$11*12,DATE(YEAR(TODAY()),MONTH(TODAY())+118,1),"")</f>
        <v>49706</v>
      </c>
      <c r="C147" s="29" t="n">
        <f aca="false">IF(118&lt;=$B$11*12,G146,"")</f>
        <v>346092.895554711</v>
      </c>
      <c r="D147" s="29" t="n">
        <f aca="false">IF(AND(118&lt;=$B$11*12,G146&gt;0),MIN($B$22,C147*(1+$B$18)),"")</f>
        <v>2695.71580825401</v>
      </c>
      <c r="E147" s="29" t="n">
        <f aca="false">IF(AND(118&lt;=$B$11*12,G146&gt;0),C147*$B$18,"")</f>
        <v>1424.43241982598</v>
      </c>
      <c r="F147" s="29" t="n">
        <f aca="false">IF(AND(118&lt;=$B$11*12,G146&gt;0),D147-E147,"")</f>
        <v>1271.28338842803</v>
      </c>
      <c r="G147" s="29" t="n">
        <f aca="false">IF(AND(118&lt;=$B$11*12,G146&gt;0),MAX(C147-F147,0),"")</f>
        <v>344821.612166283</v>
      </c>
    </row>
    <row r="148" customFormat="false" ht="15" hidden="false" customHeight="false" outlineLevel="0" collapsed="false">
      <c r="A148" s="24" t="n">
        <f aca="false">IF(119&lt;=$B$11*12,119,"")</f>
        <v>119</v>
      </c>
      <c r="B148" s="25" t="n">
        <f aca="true">IF(119&lt;=$B$11*12,DATE(YEAR(TODAY()),MONTH(TODAY())+119,1),"")</f>
        <v>49735</v>
      </c>
      <c r="C148" s="26" t="n">
        <f aca="false">IF(119&lt;=$B$11*12,G147,"")</f>
        <v>344821.612166283</v>
      </c>
      <c r="D148" s="26" t="n">
        <f aca="false">IF(AND(119&lt;=$B$11*12,G147&gt;0),MIN($B$22,C148*(1+$B$18)),"")</f>
        <v>2695.71580825401</v>
      </c>
      <c r="E148" s="26" t="n">
        <f aca="false">IF(AND(119&lt;=$B$11*12,G147&gt;0),C148*$B$18,"")</f>
        <v>1419.2001330714</v>
      </c>
      <c r="F148" s="26" t="n">
        <f aca="false">IF(AND(119&lt;=$B$11*12,G147&gt;0),D148-E148,"")</f>
        <v>1276.5156751826</v>
      </c>
      <c r="G148" s="26" t="n">
        <f aca="false">IF(AND(119&lt;=$B$11*12,G147&gt;0),MAX(C148-F148,0),"")</f>
        <v>343545.0964911</v>
      </c>
    </row>
    <row r="149" customFormat="false" ht="15" hidden="false" customHeight="false" outlineLevel="0" collapsed="false">
      <c r="A149" s="27" t="n">
        <f aca="false">IF(120&lt;=$B$11*12,120,"")</f>
        <v>120</v>
      </c>
      <c r="B149" s="28" t="n">
        <f aca="true">IF(120&lt;=$B$11*12,DATE(YEAR(TODAY()),MONTH(TODAY())+120,1),"")</f>
        <v>49766</v>
      </c>
      <c r="C149" s="29" t="n">
        <f aca="false">IF(120&lt;=$B$11*12,G148,"")</f>
        <v>343545.0964911</v>
      </c>
      <c r="D149" s="29" t="n">
        <f aca="false">IF(AND(120&lt;=$B$11*12,G148&gt;0),MIN($B$22,C149*(1+$B$18)),"")</f>
        <v>2695.71580825401</v>
      </c>
      <c r="E149" s="29" t="n">
        <f aca="false">IF(AND(120&lt;=$B$11*12,G148&gt;0),C149*$B$18,"")</f>
        <v>1413.94631152378</v>
      </c>
      <c r="F149" s="29" t="n">
        <f aca="false">IF(AND(120&lt;=$B$11*12,G148&gt;0),D149-E149,"")</f>
        <v>1281.76949673023</v>
      </c>
      <c r="G149" s="29" t="n">
        <f aca="false">IF(AND(120&lt;=$B$11*12,G148&gt;0),MAX(C149-F149,0),"")</f>
        <v>342263.32699437</v>
      </c>
    </row>
    <row r="150" customFormat="false" ht="15" hidden="false" customHeight="false" outlineLevel="0" collapsed="false">
      <c r="A150" s="24" t="n">
        <f aca="false">IF(121&lt;=$B$11*12,121,"")</f>
        <v>121</v>
      </c>
      <c r="B150" s="25" t="n">
        <f aca="true">IF(121&lt;=$B$11*12,DATE(YEAR(TODAY()),MONTH(TODAY())+121,1),"")</f>
        <v>49796</v>
      </c>
      <c r="C150" s="26" t="n">
        <f aca="false">IF(121&lt;=$B$11*12,G149,"")</f>
        <v>342263.32699437</v>
      </c>
      <c r="D150" s="26" t="n">
        <f aca="false">IF(AND(121&lt;=$B$11*12,G149&gt;0),MIN($B$22,C150*(1+$B$18)),"")</f>
        <v>2695.71580825401</v>
      </c>
      <c r="E150" s="26" t="n">
        <f aca="false">IF(AND(121&lt;=$B$11*12,G149&gt;0),C150*$B$18,"")</f>
        <v>1408.67086655123</v>
      </c>
      <c r="F150" s="26" t="n">
        <f aca="false">IF(AND(121&lt;=$B$11*12,G149&gt;0),D150-E150,"")</f>
        <v>1287.04494170277</v>
      </c>
      <c r="G150" s="26" t="n">
        <f aca="false">IF(AND(121&lt;=$B$11*12,G149&gt;0),MAX(C150-F150,0),"")</f>
        <v>340976.282052667</v>
      </c>
    </row>
    <row r="151" customFormat="false" ht="15" hidden="false" customHeight="false" outlineLevel="0" collapsed="false">
      <c r="A151" s="27" t="n">
        <f aca="false">IF(122&lt;=$B$11*12,122,"")</f>
        <v>122</v>
      </c>
      <c r="B151" s="28" t="n">
        <f aca="true">IF(122&lt;=$B$11*12,DATE(YEAR(TODAY()),MONTH(TODAY())+122,1),"")</f>
        <v>49827</v>
      </c>
      <c r="C151" s="29" t="n">
        <f aca="false">IF(122&lt;=$B$11*12,G150,"")</f>
        <v>340976.282052667</v>
      </c>
      <c r="D151" s="29" t="n">
        <f aca="false">IF(AND(122&lt;=$B$11*12,G150&gt;0),MIN($B$22,C151*(1+$B$18)),"")</f>
        <v>2695.71580825401</v>
      </c>
      <c r="E151" s="29" t="n">
        <f aca="false">IF(AND(122&lt;=$B$11*12,G150&gt;0),C151*$B$18,"")</f>
        <v>1403.37370915713</v>
      </c>
      <c r="F151" s="29" t="n">
        <f aca="false">IF(AND(122&lt;=$B$11*12,G150&gt;0),D151-E151,"")</f>
        <v>1292.34209909688</v>
      </c>
      <c r="G151" s="29" t="n">
        <f aca="false">IF(AND(122&lt;=$B$11*12,G150&gt;0),MAX(C151-F151,0),"")</f>
        <v>339683.93995357</v>
      </c>
    </row>
    <row r="152" customFormat="false" ht="15" hidden="false" customHeight="false" outlineLevel="0" collapsed="false">
      <c r="A152" s="24" t="n">
        <f aca="false">IF(123&lt;=$B$11*12,123,"")</f>
        <v>123</v>
      </c>
      <c r="B152" s="25" t="n">
        <f aca="true">IF(123&lt;=$B$11*12,DATE(YEAR(TODAY()),MONTH(TODAY())+123,1),"")</f>
        <v>49857</v>
      </c>
      <c r="C152" s="26" t="n">
        <f aca="false">IF(123&lt;=$B$11*12,G151,"")</f>
        <v>339683.93995357</v>
      </c>
      <c r="D152" s="26" t="n">
        <f aca="false">IF(AND(123&lt;=$B$11*12,G151&gt;0),MIN($B$22,C152*(1+$B$18)),"")</f>
        <v>2695.71580825401</v>
      </c>
      <c r="E152" s="26" t="n">
        <f aca="false">IF(AND(123&lt;=$B$11*12,G151&gt;0),C152*$B$18,"")</f>
        <v>1398.05474997853</v>
      </c>
      <c r="F152" s="26" t="n">
        <f aca="false">IF(AND(123&lt;=$B$11*12,G151&gt;0),D152-E152,"")</f>
        <v>1297.66105827548</v>
      </c>
      <c r="G152" s="26" t="n">
        <f aca="false">IF(AND(123&lt;=$B$11*12,G151&gt;0),MAX(C152-F152,0),"")</f>
        <v>338386.278895295</v>
      </c>
    </row>
    <row r="153" customFormat="false" ht="15" hidden="false" customHeight="false" outlineLevel="0" collapsed="false">
      <c r="A153" s="27" t="n">
        <f aca="false">IF(124&lt;=$B$11*12,124,"")</f>
        <v>124</v>
      </c>
      <c r="B153" s="28" t="n">
        <f aca="true">IF(124&lt;=$B$11*12,DATE(YEAR(TODAY()),MONTH(TODAY())+124,1),"")</f>
        <v>49888</v>
      </c>
      <c r="C153" s="29" t="n">
        <f aca="false">IF(124&lt;=$B$11*12,G152,"")</f>
        <v>338386.278895295</v>
      </c>
      <c r="D153" s="29" t="n">
        <f aca="false">IF(AND(124&lt;=$B$11*12,G152&gt;0),MIN($B$22,C153*(1+$B$18)),"")</f>
        <v>2695.71580825401</v>
      </c>
      <c r="E153" s="29" t="n">
        <f aca="false">IF(AND(124&lt;=$B$11*12,G152&gt;0),C153*$B$18,"")</f>
        <v>1392.7138992847</v>
      </c>
      <c r="F153" s="29" t="n">
        <f aca="false">IF(AND(124&lt;=$B$11*12,G152&gt;0),D153-E153,"")</f>
        <v>1303.00190896931</v>
      </c>
      <c r="G153" s="29" t="n">
        <f aca="false">IF(AND(124&lt;=$B$11*12,G152&gt;0),MAX(C153-F153,0),"")</f>
        <v>337083.276986326</v>
      </c>
    </row>
    <row r="154" customFormat="false" ht="15" hidden="false" customHeight="false" outlineLevel="0" collapsed="false">
      <c r="A154" s="24" t="n">
        <f aca="false">IF(125&lt;=$B$11*12,125,"")</f>
        <v>125</v>
      </c>
      <c r="B154" s="25" t="n">
        <f aca="true">IF(125&lt;=$B$11*12,DATE(YEAR(TODAY()),MONTH(TODAY())+125,1),"")</f>
        <v>49919</v>
      </c>
      <c r="C154" s="26" t="n">
        <f aca="false">IF(125&lt;=$B$11*12,G153,"")</f>
        <v>337083.276986326</v>
      </c>
      <c r="D154" s="26" t="n">
        <f aca="false">IF(AND(125&lt;=$B$11*12,G153&gt;0),MIN($B$22,C154*(1+$B$18)),"")</f>
        <v>2695.71580825401</v>
      </c>
      <c r="E154" s="26" t="n">
        <f aca="false">IF(AND(125&lt;=$B$11*12,G153&gt;0),C154*$B$18,"")</f>
        <v>1387.3510669756</v>
      </c>
      <c r="F154" s="26" t="n">
        <f aca="false">IF(AND(125&lt;=$B$11*12,G153&gt;0),D154-E154,"")</f>
        <v>1308.36474127841</v>
      </c>
      <c r="G154" s="26" t="n">
        <f aca="false">IF(AND(125&lt;=$B$11*12,G153&gt;0),MAX(C154-F154,0),"")</f>
        <v>335774.912245047</v>
      </c>
    </row>
    <row r="155" customFormat="false" ht="15" hidden="false" customHeight="false" outlineLevel="0" collapsed="false">
      <c r="A155" s="27" t="n">
        <f aca="false">IF(126&lt;=$B$11*12,126,"")</f>
        <v>126</v>
      </c>
      <c r="B155" s="28" t="n">
        <f aca="true">IF(126&lt;=$B$11*12,DATE(YEAR(TODAY()),MONTH(TODAY())+126,1),"")</f>
        <v>49949</v>
      </c>
      <c r="C155" s="29" t="n">
        <f aca="false">IF(126&lt;=$B$11*12,G154,"")</f>
        <v>335774.912245047</v>
      </c>
      <c r="D155" s="29" t="n">
        <f aca="false">IF(AND(126&lt;=$B$11*12,G154&gt;0),MIN($B$22,C155*(1+$B$18)),"")</f>
        <v>2695.71580825401</v>
      </c>
      <c r="E155" s="29" t="n">
        <f aca="false">IF(AND(126&lt;=$B$11*12,G154&gt;0),C155*$B$18,"")</f>
        <v>1381.96616258036</v>
      </c>
      <c r="F155" s="29" t="n">
        <f aca="false">IF(AND(126&lt;=$B$11*12,G154&gt;0),D155-E155,"")</f>
        <v>1313.74964567365</v>
      </c>
      <c r="G155" s="29" t="n">
        <f aca="false">IF(AND(126&lt;=$B$11*12,G154&gt;0),MAX(C155-F155,0),"")</f>
        <v>334461.162599374</v>
      </c>
    </row>
    <row r="156" customFormat="false" ht="15" hidden="false" customHeight="false" outlineLevel="0" collapsed="false">
      <c r="A156" s="24" t="n">
        <f aca="false">IF(127&lt;=$B$11*12,127,"")</f>
        <v>127</v>
      </c>
      <c r="B156" s="25" t="n">
        <f aca="true">IF(127&lt;=$B$11*12,DATE(YEAR(TODAY()),MONTH(TODAY())+127,1),"")</f>
        <v>49980</v>
      </c>
      <c r="C156" s="26" t="n">
        <f aca="false">IF(127&lt;=$B$11*12,G155,"")</f>
        <v>334461.162599374</v>
      </c>
      <c r="D156" s="26" t="n">
        <f aca="false">IF(AND(127&lt;=$B$11*12,G155&gt;0),MIN($B$22,C156*(1+$B$18)),"")</f>
        <v>2695.71580825401</v>
      </c>
      <c r="E156" s="26" t="n">
        <f aca="false">IF(AND(127&lt;=$B$11*12,G155&gt;0),C156*$B$18,"")</f>
        <v>1376.55909525575</v>
      </c>
      <c r="F156" s="26" t="n">
        <f aca="false">IF(AND(127&lt;=$B$11*12,G155&gt;0),D156-E156,"")</f>
        <v>1319.15671299826</v>
      </c>
      <c r="G156" s="26" t="n">
        <f aca="false">IF(AND(127&lt;=$B$11*12,G155&gt;0),MAX(C156-F156,0),"")</f>
        <v>333142.005886375</v>
      </c>
    </row>
    <row r="157" customFormat="false" ht="15" hidden="false" customHeight="false" outlineLevel="0" collapsed="false">
      <c r="A157" s="27" t="n">
        <f aca="false">IF(128&lt;=$B$11*12,128,"")</f>
        <v>128</v>
      </c>
      <c r="B157" s="28" t="n">
        <f aca="true">IF(128&lt;=$B$11*12,DATE(YEAR(TODAY()),MONTH(TODAY())+128,1),"")</f>
        <v>50010</v>
      </c>
      <c r="C157" s="29" t="n">
        <f aca="false">IF(128&lt;=$B$11*12,G156,"")</f>
        <v>333142.005886375</v>
      </c>
      <c r="D157" s="29" t="n">
        <f aca="false">IF(AND(128&lt;=$B$11*12,G156&gt;0),MIN($B$22,C157*(1+$B$18)),"")</f>
        <v>2695.71580825401</v>
      </c>
      <c r="E157" s="29" t="n">
        <f aca="false">IF(AND(128&lt;=$B$11*12,G156&gt;0),C157*$B$18,"")</f>
        <v>1371.12977378466</v>
      </c>
      <c r="F157" s="29" t="n">
        <f aca="false">IF(AND(128&lt;=$B$11*12,G156&gt;0),D157-E157,"")</f>
        <v>1324.58603446935</v>
      </c>
      <c r="G157" s="29" t="n">
        <f aca="false">IF(AND(128&lt;=$B$11*12,G156&gt;0),MAX(C157-F157,0),"")</f>
        <v>331817.419851906</v>
      </c>
    </row>
    <row r="158" customFormat="false" ht="15" hidden="false" customHeight="false" outlineLevel="0" collapsed="false">
      <c r="A158" s="24" t="n">
        <f aca="false">IF(129&lt;=$B$11*12,129,"")</f>
        <v>129</v>
      </c>
      <c r="B158" s="25" t="n">
        <f aca="true">IF(129&lt;=$B$11*12,DATE(YEAR(TODAY()),MONTH(TODAY())+129,1),"")</f>
        <v>50041</v>
      </c>
      <c r="C158" s="26" t="n">
        <f aca="false">IF(129&lt;=$B$11*12,G157,"")</f>
        <v>331817.419851906</v>
      </c>
      <c r="D158" s="26" t="n">
        <f aca="false">IF(AND(129&lt;=$B$11*12,G157&gt;0),MIN($B$22,C158*(1+$B$18)),"")</f>
        <v>2695.71580825401</v>
      </c>
      <c r="E158" s="26" t="n">
        <f aca="false">IF(AND(129&lt;=$B$11*12,G157&gt;0),C158*$B$18,"")</f>
        <v>1365.67810657456</v>
      </c>
      <c r="F158" s="26" t="n">
        <f aca="false">IF(AND(129&lt;=$B$11*12,G157&gt;0),D158-E158,"")</f>
        <v>1330.03770167945</v>
      </c>
      <c r="G158" s="26" t="n">
        <f aca="false">IF(AND(129&lt;=$B$11*12,G157&gt;0),MAX(C158-F158,0),"")</f>
        <v>330487.382150226</v>
      </c>
    </row>
    <row r="159" customFormat="false" ht="15" hidden="false" customHeight="false" outlineLevel="0" collapsed="false">
      <c r="A159" s="27" t="n">
        <f aca="false">IF(130&lt;=$B$11*12,130,"")</f>
        <v>130</v>
      </c>
      <c r="B159" s="28" t="n">
        <f aca="true">IF(130&lt;=$B$11*12,DATE(YEAR(TODAY()),MONTH(TODAY())+130,1),"")</f>
        <v>50072</v>
      </c>
      <c r="C159" s="29" t="n">
        <f aca="false">IF(130&lt;=$B$11*12,G158,"")</f>
        <v>330487.382150226</v>
      </c>
      <c r="D159" s="29" t="n">
        <f aca="false">IF(AND(130&lt;=$B$11*12,G158&gt;0),MIN($B$22,C159*(1+$B$18)),"")</f>
        <v>2695.71580825401</v>
      </c>
      <c r="E159" s="29" t="n">
        <f aca="false">IF(AND(130&lt;=$B$11*12,G158&gt;0),C159*$B$18,"")</f>
        <v>1360.20400165591</v>
      </c>
      <c r="F159" s="29" t="n">
        <f aca="false">IF(AND(130&lt;=$B$11*12,G158&gt;0),D159-E159,"")</f>
        <v>1335.5118065981</v>
      </c>
      <c r="G159" s="29" t="n">
        <f aca="false">IF(AND(130&lt;=$B$11*12,G158&gt;0),MAX(C159-F159,0),"")</f>
        <v>329151.870343628</v>
      </c>
    </row>
    <row r="160" customFormat="false" ht="15" hidden="false" customHeight="false" outlineLevel="0" collapsed="false">
      <c r="A160" s="24" t="n">
        <f aca="false">IF(131&lt;=$B$11*12,131,"")</f>
        <v>131</v>
      </c>
      <c r="B160" s="25" t="n">
        <f aca="true">IF(131&lt;=$B$11*12,DATE(YEAR(TODAY()),MONTH(TODAY())+131,1),"")</f>
        <v>50100</v>
      </c>
      <c r="C160" s="26" t="n">
        <f aca="false">IF(131&lt;=$B$11*12,G159,"")</f>
        <v>329151.870343628</v>
      </c>
      <c r="D160" s="26" t="n">
        <f aca="false">IF(AND(131&lt;=$B$11*12,G159&gt;0),MIN($B$22,C160*(1+$B$18)),"")</f>
        <v>2695.71580825401</v>
      </c>
      <c r="E160" s="26" t="n">
        <f aca="false">IF(AND(131&lt;=$B$11*12,G159&gt;0),C160*$B$18,"")</f>
        <v>1354.7073666807</v>
      </c>
      <c r="F160" s="26" t="n">
        <f aca="false">IF(AND(131&lt;=$B$11*12,G159&gt;0),D160-E160,"")</f>
        <v>1341.00844157331</v>
      </c>
      <c r="G160" s="26" t="n">
        <f aca="false">IF(AND(131&lt;=$B$11*12,G159&gt;0),MAX(C160-F160,0),"")</f>
        <v>327810.861902055</v>
      </c>
    </row>
    <row r="161" customFormat="false" ht="15" hidden="false" customHeight="false" outlineLevel="0" collapsed="false">
      <c r="A161" s="27" t="n">
        <f aca="false">IF(132&lt;=$B$11*12,132,"")</f>
        <v>132</v>
      </c>
      <c r="B161" s="28" t="n">
        <f aca="true">IF(132&lt;=$B$11*12,DATE(YEAR(TODAY()),MONTH(TODAY())+132,1),"")</f>
        <v>50131</v>
      </c>
      <c r="C161" s="29" t="n">
        <f aca="false">IF(132&lt;=$B$11*12,G160,"")</f>
        <v>327810.861902055</v>
      </c>
      <c r="D161" s="29" t="n">
        <f aca="false">IF(AND(132&lt;=$B$11*12,G160&gt;0),MIN($B$22,C161*(1+$B$18)),"")</f>
        <v>2695.71580825401</v>
      </c>
      <c r="E161" s="29" t="n">
        <f aca="false">IF(AND(132&lt;=$B$11*12,G160&gt;0),C161*$B$18,"")</f>
        <v>1349.1881089208</v>
      </c>
      <c r="F161" s="29" t="n">
        <f aca="false">IF(AND(132&lt;=$B$11*12,G160&gt;0),D161-E161,"")</f>
        <v>1346.52769933321</v>
      </c>
      <c r="G161" s="29" t="n">
        <f aca="false">IF(AND(132&lt;=$B$11*12,G160&gt;0),MAX(C161-F161,0),"")</f>
        <v>326464.334202722</v>
      </c>
    </row>
    <row r="162" customFormat="false" ht="15" hidden="false" customHeight="false" outlineLevel="0" collapsed="false">
      <c r="A162" s="24" t="n">
        <f aca="false">IF(133&lt;=$B$11*12,133,"")</f>
        <v>133</v>
      </c>
      <c r="B162" s="25" t="n">
        <f aca="true">IF(133&lt;=$B$11*12,DATE(YEAR(TODAY()),MONTH(TODAY())+133,1),"")</f>
        <v>50161</v>
      </c>
      <c r="C162" s="26" t="n">
        <f aca="false">IF(133&lt;=$B$11*12,G161,"")</f>
        <v>326464.334202722</v>
      </c>
      <c r="D162" s="26" t="n">
        <f aca="false">IF(AND(133&lt;=$B$11*12,G161&gt;0),MIN($B$22,C162*(1+$B$18)),"")</f>
        <v>2695.71580825401</v>
      </c>
      <c r="E162" s="26" t="n">
        <f aca="false">IF(AND(133&lt;=$B$11*12,G161&gt;0),C162*$B$18,"")</f>
        <v>1343.64613526644</v>
      </c>
      <c r="F162" s="26" t="n">
        <f aca="false">IF(AND(133&lt;=$B$11*12,G161&gt;0),D162-E162,"")</f>
        <v>1352.06967298757</v>
      </c>
      <c r="G162" s="26" t="n">
        <f aca="false">IF(AND(133&lt;=$B$11*12,G161&gt;0),MAX(C162-F162,0),"")</f>
        <v>325112.264529734</v>
      </c>
    </row>
    <row r="163" customFormat="false" ht="15" hidden="false" customHeight="false" outlineLevel="0" collapsed="false">
      <c r="A163" s="27" t="n">
        <f aca="false">IF(134&lt;=$B$11*12,134,"")</f>
        <v>134</v>
      </c>
      <c r="B163" s="28" t="n">
        <f aca="true">IF(134&lt;=$B$11*12,DATE(YEAR(TODAY()),MONTH(TODAY())+134,1),"")</f>
        <v>50192</v>
      </c>
      <c r="C163" s="29" t="n">
        <f aca="false">IF(134&lt;=$B$11*12,G162,"")</f>
        <v>325112.264529734</v>
      </c>
      <c r="D163" s="29" t="n">
        <f aca="false">IF(AND(134&lt;=$B$11*12,G162&gt;0),MIN($B$22,C163*(1+$B$18)),"")</f>
        <v>2695.71580825401</v>
      </c>
      <c r="E163" s="29" t="n">
        <f aca="false">IF(AND(134&lt;=$B$11*12,G162&gt;0),C163*$B$18,"")</f>
        <v>1338.08135222465</v>
      </c>
      <c r="F163" s="29" t="n">
        <f aca="false">IF(AND(134&lt;=$B$11*12,G162&gt;0),D163-E163,"")</f>
        <v>1357.63445602936</v>
      </c>
      <c r="G163" s="29" t="n">
        <f aca="false">IF(AND(134&lt;=$B$11*12,G162&gt;0),MAX(C163-F163,0),"")</f>
        <v>323754.630073705</v>
      </c>
    </row>
    <row r="164" customFormat="false" ht="15" hidden="false" customHeight="false" outlineLevel="0" collapsed="false">
      <c r="A164" s="24" t="n">
        <f aca="false">IF(135&lt;=$B$11*12,135,"")</f>
        <v>135</v>
      </c>
      <c r="B164" s="25" t="n">
        <f aca="true">IF(135&lt;=$B$11*12,DATE(YEAR(TODAY()),MONTH(TODAY())+135,1),"")</f>
        <v>50222</v>
      </c>
      <c r="C164" s="26" t="n">
        <f aca="false">IF(135&lt;=$B$11*12,G163,"")</f>
        <v>323754.630073705</v>
      </c>
      <c r="D164" s="26" t="n">
        <f aca="false">IF(AND(135&lt;=$B$11*12,G163&gt;0),MIN($B$22,C164*(1+$B$18)),"")</f>
        <v>2695.71580825401</v>
      </c>
      <c r="E164" s="26" t="n">
        <f aca="false">IF(AND(135&lt;=$B$11*12,G163&gt;0),C164*$B$18,"")</f>
        <v>1332.49366591765</v>
      </c>
      <c r="F164" s="26" t="n">
        <f aca="false">IF(AND(135&lt;=$B$11*12,G163&gt;0),D164-E164,"")</f>
        <v>1363.22214233636</v>
      </c>
      <c r="G164" s="26" t="n">
        <f aca="false">IF(AND(135&lt;=$B$11*12,G163&gt;0),MAX(C164-F164,0),"")</f>
        <v>322391.407931369</v>
      </c>
    </row>
    <row r="165" customFormat="false" ht="15" hidden="false" customHeight="false" outlineLevel="0" collapsed="false">
      <c r="A165" s="27" t="n">
        <f aca="false">IF(136&lt;=$B$11*12,136,"")</f>
        <v>136</v>
      </c>
      <c r="B165" s="28" t="n">
        <f aca="true">IF(136&lt;=$B$11*12,DATE(YEAR(TODAY()),MONTH(TODAY())+136,1),"")</f>
        <v>50253</v>
      </c>
      <c r="C165" s="29" t="n">
        <f aca="false">IF(136&lt;=$B$11*12,G164,"")</f>
        <v>322391.407931369</v>
      </c>
      <c r="D165" s="29" t="n">
        <f aca="false">IF(AND(136&lt;=$B$11*12,G164&gt;0),MIN($B$22,C165*(1+$B$18)),"")</f>
        <v>2695.71580825401</v>
      </c>
      <c r="E165" s="29" t="n">
        <f aca="false">IF(AND(136&lt;=$B$11*12,G164&gt;0),C165*$B$18,"")</f>
        <v>1326.88298208129</v>
      </c>
      <c r="F165" s="29" t="n">
        <f aca="false">IF(AND(136&lt;=$B$11*12,G164&gt;0),D165-E165,"")</f>
        <v>1368.83282617272</v>
      </c>
      <c r="G165" s="29" t="n">
        <f aca="false">IF(AND(136&lt;=$B$11*12,G164&gt;0),MAX(C165-F165,0),"")</f>
        <v>321022.575105196</v>
      </c>
    </row>
    <row r="166" customFormat="false" ht="15" hidden="false" customHeight="false" outlineLevel="0" collapsed="false">
      <c r="A166" s="24" t="n">
        <f aca="false">IF(137&lt;=$B$11*12,137,"")</f>
        <v>137</v>
      </c>
      <c r="B166" s="25" t="n">
        <f aca="true">IF(137&lt;=$B$11*12,DATE(YEAR(TODAY()),MONTH(TODAY())+137,1),"")</f>
        <v>50284</v>
      </c>
      <c r="C166" s="26" t="n">
        <f aca="false">IF(137&lt;=$B$11*12,G165,"")</f>
        <v>321022.575105196</v>
      </c>
      <c r="D166" s="26" t="n">
        <f aca="false">IF(AND(137&lt;=$B$11*12,G165&gt;0),MIN($B$22,C166*(1+$B$18)),"")</f>
        <v>2695.71580825401</v>
      </c>
      <c r="E166" s="26" t="n">
        <f aca="false">IF(AND(137&lt;=$B$11*12,G165&gt;0),C166*$B$18,"")</f>
        <v>1321.24920606345</v>
      </c>
      <c r="F166" s="26" t="n">
        <f aca="false">IF(AND(137&lt;=$B$11*12,G165&gt;0),D166-E166,"")</f>
        <v>1374.46660219056</v>
      </c>
      <c r="G166" s="26" t="n">
        <f aca="false">IF(AND(137&lt;=$B$11*12,G165&gt;0),MAX(C166-F166,0),"")</f>
        <v>319648.108503005</v>
      </c>
    </row>
    <row r="167" customFormat="false" ht="15" hidden="false" customHeight="false" outlineLevel="0" collapsed="false">
      <c r="A167" s="27" t="n">
        <f aca="false">IF(138&lt;=$B$11*12,138,"")</f>
        <v>138</v>
      </c>
      <c r="B167" s="28" t="n">
        <f aca="true">IF(138&lt;=$B$11*12,DATE(YEAR(TODAY()),MONTH(TODAY())+138,1),"")</f>
        <v>50314</v>
      </c>
      <c r="C167" s="29" t="n">
        <f aca="false">IF(138&lt;=$B$11*12,G166,"")</f>
        <v>319648.108503005</v>
      </c>
      <c r="D167" s="29" t="n">
        <f aca="false">IF(AND(138&lt;=$B$11*12,G166&gt;0),MIN($B$22,C167*(1+$B$18)),"")</f>
        <v>2695.71580825401</v>
      </c>
      <c r="E167" s="29" t="n">
        <f aca="false">IF(AND(138&lt;=$B$11*12,G166&gt;0),C167*$B$18,"")</f>
        <v>1315.59224282243</v>
      </c>
      <c r="F167" s="29" t="n">
        <f aca="false">IF(AND(138&lt;=$B$11*12,G166&gt;0),D167-E167,"")</f>
        <v>1380.12356543157</v>
      </c>
      <c r="G167" s="29" t="n">
        <f aca="false">IF(AND(138&lt;=$B$11*12,G166&gt;0),MAX(C167-F167,0),"")</f>
        <v>318267.984937574</v>
      </c>
    </row>
    <row r="168" customFormat="false" ht="15" hidden="false" customHeight="false" outlineLevel="0" collapsed="false">
      <c r="A168" s="24" t="n">
        <f aca="false">IF(139&lt;=$B$11*12,139,"")</f>
        <v>139</v>
      </c>
      <c r="B168" s="25" t="n">
        <f aca="true">IF(139&lt;=$B$11*12,DATE(YEAR(TODAY()),MONTH(TODAY())+139,1),"")</f>
        <v>50345</v>
      </c>
      <c r="C168" s="26" t="n">
        <f aca="false">IF(139&lt;=$B$11*12,G167,"")</f>
        <v>318267.984937574</v>
      </c>
      <c r="D168" s="26" t="n">
        <f aca="false">IF(AND(139&lt;=$B$11*12,G167&gt;0),MIN($B$22,C168*(1+$B$18)),"")</f>
        <v>2695.71580825401</v>
      </c>
      <c r="E168" s="26" t="n">
        <f aca="false">IF(AND(139&lt;=$B$11*12,G167&gt;0),C168*$B$18,"")</f>
        <v>1309.9119969254</v>
      </c>
      <c r="F168" s="26" t="n">
        <f aca="false">IF(AND(139&lt;=$B$11*12,G167&gt;0),D168-E168,"")</f>
        <v>1385.80381132861</v>
      </c>
      <c r="G168" s="26" t="n">
        <f aca="false">IF(AND(139&lt;=$B$11*12,G167&gt;0),MAX(C168-F168,0),"")</f>
        <v>316882.181126245</v>
      </c>
    </row>
    <row r="169" customFormat="false" ht="15" hidden="false" customHeight="false" outlineLevel="0" collapsed="false">
      <c r="A169" s="27" t="n">
        <f aca="false">IF(140&lt;=$B$11*12,140,"")</f>
        <v>140</v>
      </c>
      <c r="B169" s="28" t="n">
        <f aca="true">IF(140&lt;=$B$11*12,DATE(YEAR(TODAY()),MONTH(TODAY())+140,1),"")</f>
        <v>50375</v>
      </c>
      <c r="C169" s="29" t="n">
        <f aca="false">IF(140&lt;=$B$11*12,G168,"")</f>
        <v>316882.181126245</v>
      </c>
      <c r="D169" s="29" t="n">
        <f aca="false">IF(AND(140&lt;=$B$11*12,G168&gt;0),MIN($B$22,C169*(1+$B$18)),"")</f>
        <v>2695.71580825401</v>
      </c>
      <c r="E169" s="29" t="n">
        <f aca="false">IF(AND(140&lt;=$B$11*12,G168&gt;0),C169*$B$18,"")</f>
        <v>1304.20837254672</v>
      </c>
      <c r="F169" s="29" t="n">
        <f aca="false">IF(AND(140&lt;=$B$11*12,G168&gt;0),D169-E169,"")</f>
        <v>1391.50743570729</v>
      </c>
      <c r="G169" s="29" t="n">
        <f aca="false">IF(AND(140&lt;=$B$11*12,G168&gt;0),MAX(C169-F169,0),"")</f>
        <v>315490.673690538</v>
      </c>
    </row>
    <row r="170" customFormat="false" ht="15" hidden="false" customHeight="false" outlineLevel="0" collapsed="false">
      <c r="A170" s="24" t="n">
        <f aca="false">IF(141&lt;=$B$11*12,141,"")</f>
        <v>141</v>
      </c>
      <c r="B170" s="25" t="n">
        <f aca="true">IF(141&lt;=$B$11*12,DATE(YEAR(TODAY()),MONTH(TODAY())+141,1),"")</f>
        <v>50406</v>
      </c>
      <c r="C170" s="26" t="n">
        <f aca="false">IF(141&lt;=$B$11*12,G169,"")</f>
        <v>315490.673690538</v>
      </c>
      <c r="D170" s="26" t="n">
        <f aca="false">IF(AND(141&lt;=$B$11*12,G169&gt;0),MIN($B$22,C170*(1+$B$18)),"")</f>
        <v>2695.71580825401</v>
      </c>
      <c r="E170" s="26" t="n">
        <f aca="false">IF(AND(141&lt;=$B$11*12,G169&gt;0),C170*$B$18,"")</f>
        <v>1298.48127346636</v>
      </c>
      <c r="F170" s="26" t="n">
        <f aca="false">IF(AND(141&lt;=$B$11*12,G169&gt;0),D170-E170,"")</f>
        <v>1397.23453478765</v>
      </c>
      <c r="G170" s="26" t="n">
        <f aca="false">IF(AND(141&lt;=$B$11*12,G169&gt;0),MAX(C170-F170,0),"")</f>
        <v>314093.43915575</v>
      </c>
    </row>
    <row r="171" customFormat="false" ht="15" hidden="false" customHeight="false" outlineLevel="0" collapsed="false">
      <c r="A171" s="27" t="n">
        <f aca="false">IF(142&lt;=$B$11*12,142,"")</f>
        <v>142</v>
      </c>
      <c r="B171" s="28" t="n">
        <f aca="true">IF(142&lt;=$B$11*12,DATE(YEAR(TODAY()),MONTH(TODAY())+142,1),"")</f>
        <v>50437</v>
      </c>
      <c r="C171" s="29" t="n">
        <f aca="false">IF(142&lt;=$B$11*12,G170,"")</f>
        <v>314093.43915575</v>
      </c>
      <c r="D171" s="29" t="n">
        <f aca="false">IF(AND(142&lt;=$B$11*12,G170&gt;0),MIN($B$22,C171*(1+$B$18)),"")</f>
        <v>2695.71580825401</v>
      </c>
      <c r="E171" s="29" t="n">
        <f aca="false">IF(AND(142&lt;=$B$11*12,G170&gt;0),C171*$B$18,"")</f>
        <v>1292.73060306828</v>
      </c>
      <c r="F171" s="29" t="n">
        <f aca="false">IF(AND(142&lt;=$B$11*12,G170&gt;0),D171-E171,"")</f>
        <v>1402.98520518573</v>
      </c>
      <c r="G171" s="29" t="n">
        <f aca="false">IF(AND(142&lt;=$B$11*12,G170&gt;0),MAX(C171-F171,0),"")</f>
        <v>312690.453950564</v>
      </c>
    </row>
    <row r="172" customFormat="false" ht="15" hidden="false" customHeight="false" outlineLevel="0" collapsed="false">
      <c r="A172" s="24" t="n">
        <f aca="false">IF(143&lt;=$B$11*12,143,"")</f>
        <v>143</v>
      </c>
      <c r="B172" s="25" t="n">
        <f aca="true">IF(143&lt;=$B$11*12,DATE(YEAR(TODAY()),MONTH(TODAY())+143,1),"")</f>
        <v>50465</v>
      </c>
      <c r="C172" s="26" t="n">
        <f aca="false">IF(143&lt;=$B$11*12,G171,"")</f>
        <v>312690.453950564</v>
      </c>
      <c r="D172" s="26" t="n">
        <f aca="false">IF(AND(143&lt;=$B$11*12,G171&gt;0),MIN($B$22,C172*(1+$B$18)),"")</f>
        <v>2695.71580825401</v>
      </c>
      <c r="E172" s="26" t="n">
        <f aca="false">IF(AND(143&lt;=$B$11*12,G171&gt;0),C172*$B$18,"")</f>
        <v>1286.95626433879</v>
      </c>
      <c r="F172" s="26" t="n">
        <f aca="false">IF(AND(143&lt;=$B$11*12,G171&gt;0),D172-E172,"")</f>
        <v>1408.75954391522</v>
      </c>
      <c r="G172" s="26" t="n">
        <f aca="false">IF(AND(143&lt;=$B$11*12,G171&gt;0),MAX(C172-F172,0),"")</f>
        <v>311281.694406649</v>
      </c>
    </row>
    <row r="173" customFormat="false" ht="15" hidden="false" customHeight="false" outlineLevel="0" collapsed="false">
      <c r="A173" s="27" t="n">
        <f aca="false">IF(144&lt;=$B$11*12,144,"")</f>
        <v>144</v>
      </c>
      <c r="B173" s="28" t="n">
        <f aca="true">IF(144&lt;=$B$11*12,DATE(YEAR(TODAY()),MONTH(TODAY())+144,1),"")</f>
        <v>50496</v>
      </c>
      <c r="C173" s="29" t="n">
        <f aca="false">IF(144&lt;=$B$11*12,G172,"")</f>
        <v>311281.694406649</v>
      </c>
      <c r="D173" s="29" t="n">
        <f aca="false">IF(AND(144&lt;=$B$11*12,G172&gt;0),MIN($B$22,C173*(1+$B$18)),"")</f>
        <v>2695.71580825401</v>
      </c>
      <c r="E173" s="29" t="n">
        <f aca="false">IF(AND(144&lt;=$B$11*12,G172&gt;0),C173*$B$18,"")</f>
        <v>1281.15815986492</v>
      </c>
      <c r="F173" s="29" t="n">
        <f aca="false">IF(AND(144&lt;=$B$11*12,G172&gt;0),D173-E173,"")</f>
        <v>1414.55764838909</v>
      </c>
      <c r="G173" s="29" t="n">
        <f aca="false">IF(AND(144&lt;=$B$11*12,G172&gt;0),MAX(C173-F173,0),"")</f>
        <v>309867.13675826</v>
      </c>
    </row>
    <row r="174" customFormat="false" ht="15" hidden="false" customHeight="false" outlineLevel="0" collapsed="false">
      <c r="A174" s="24" t="n">
        <f aca="false">IF(145&lt;=$B$11*12,145,"")</f>
        <v>145</v>
      </c>
      <c r="B174" s="25" t="n">
        <f aca="true">IF(145&lt;=$B$11*12,DATE(YEAR(TODAY()),MONTH(TODAY())+145,1),"")</f>
        <v>50526</v>
      </c>
      <c r="C174" s="26" t="n">
        <f aca="false">IF(145&lt;=$B$11*12,G173,"")</f>
        <v>309867.13675826</v>
      </c>
      <c r="D174" s="26" t="n">
        <f aca="false">IF(AND(145&lt;=$B$11*12,G173&gt;0),MIN($B$22,C174*(1+$B$18)),"")</f>
        <v>2695.71580825401</v>
      </c>
      <c r="E174" s="26" t="n">
        <f aca="false">IF(AND(145&lt;=$B$11*12,G173&gt;0),C174*$B$18,"")</f>
        <v>1275.33619183275</v>
      </c>
      <c r="F174" s="26" t="n">
        <f aca="false">IF(AND(145&lt;=$B$11*12,G173&gt;0),D174-E174,"")</f>
        <v>1420.37961642126</v>
      </c>
      <c r="G174" s="26" t="n">
        <f aca="false">IF(AND(145&lt;=$B$11*12,G173&gt;0),MAX(C174-F174,0),"")</f>
        <v>308446.757141839</v>
      </c>
    </row>
    <row r="175" customFormat="false" ht="15" hidden="false" customHeight="false" outlineLevel="0" collapsed="false">
      <c r="A175" s="27" t="n">
        <f aca="false">IF(146&lt;=$B$11*12,146,"")</f>
        <v>146</v>
      </c>
      <c r="B175" s="28" t="n">
        <f aca="true">IF(146&lt;=$B$11*12,DATE(YEAR(TODAY()),MONTH(TODAY())+146,1),"")</f>
        <v>50557</v>
      </c>
      <c r="C175" s="29" t="n">
        <f aca="false">IF(146&lt;=$B$11*12,G174,"")</f>
        <v>308446.757141839</v>
      </c>
      <c r="D175" s="29" t="n">
        <f aca="false">IF(AND(146&lt;=$B$11*12,G174&gt;0),MIN($B$22,C175*(1+$B$18)),"")</f>
        <v>2695.71580825401</v>
      </c>
      <c r="E175" s="29" t="n">
        <f aca="false">IF(AND(146&lt;=$B$11*12,G174&gt;0),C175*$B$18,"")</f>
        <v>1269.49026202582</v>
      </c>
      <c r="F175" s="29" t="n">
        <f aca="false">IF(AND(146&lt;=$B$11*12,G174&gt;0),D175-E175,"")</f>
        <v>1426.22554622819</v>
      </c>
      <c r="G175" s="29" t="n">
        <f aca="false">IF(AND(146&lt;=$B$11*12,G174&gt;0),MAX(C175-F175,0),"")</f>
        <v>307020.531595611</v>
      </c>
    </row>
    <row r="176" customFormat="false" ht="15" hidden="false" customHeight="false" outlineLevel="0" collapsed="false">
      <c r="A176" s="24" t="n">
        <f aca="false">IF(147&lt;=$B$11*12,147,"")</f>
        <v>147</v>
      </c>
      <c r="B176" s="25" t="n">
        <f aca="true">IF(147&lt;=$B$11*12,DATE(YEAR(TODAY()),MONTH(TODAY())+147,1),"")</f>
        <v>50587</v>
      </c>
      <c r="C176" s="26" t="n">
        <f aca="false">IF(147&lt;=$B$11*12,G175,"")</f>
        <v>307020.531595611</v>
      </c>
      <c r="D176" s="26" t="n">
        <f aca="false">IF(AND(147&lt;=$B$11*12,G175&gt;0),MIN($B$22,C176*(1+$B$18)),"")</f>
        <v>2695.71580825401</v>
      </c>
      <c r="E176" s="26" t="n">
        <f aca="false">IF(AND(147&lt;=$B$11*12,G175&gt;0),C176*$B$18,"")</f>
        <v>1263.62027182341</v>
      </c>
      <c r="F176" s="26" t="n">
        <f aca="false">IF(AND(147&lt;=$B$11*12,G175&gt;0),D176-E176,"")</f>
        <v>1432.0955364306</v>
      </c>
      <c r="G176" s="26" t="n">
        <f aca="false">IF(AND(147&lt;=$B$11*12,G175&gt;0),MAX(C176-F176,0),"")</f>
        <v>305588.43605918</v>
      </c>
    </row>
    <row r="177" customFormat="false" ht="15" hidden="false" customHeight="false" outlineLevel="0" collapsed="false">
      <c r="A177" s="27" t="n">
        <f aca="false">IF(148&lt;=$B$11*12,148,"")</f>
        <v>148</v>
      </c>
      <c r="B177" s="28" t="n">
        <f aca="true">IF(148&lt;=$B$11*12,DATE(YEAR(TODAY()),MONTH(TODAY())+148,1),"")</f>
        <v>50618</v>
      </c>
      <c r="C177" s="29" t="n">
        <f aca="false">IF(148&lt;=$B$11*12,G176,"")</f>
        <v>305588.43605918</v>
      </c>
      <c r="D177" s="29" t="n">
        <f aca="false">IF(AND(148&lt;=$B$11*12,G176&gt;0),MIN($B$22,C177*(1+$B$18)),"")</f>
        <v>2695.71580825401</v>
      </c>
      <c r="E177" s="29" t="n">
        <f aca="false">IF(AND(148&lt;=$B$11*12,G176&gt;0),C177*$B$18,"")</f>
        <v>1257.7261221989</v>
      </c>
      <c r="F177" s="29" t="n">
        <f aca="false">IF(AND(148&lt;=$B$11*12,G176&gt;0),D177-E177,"")</f>
        <v>1437.98968605511</v>
      </c>
      <c r="G177" s="29" t="n">
        <f aca="false">IF(AND(148&lt;=$B$11*12,G176&gt;0),MAX(C177-F177,0),"")</f>
        <v>304150.446373125</v>
      </c>
    </row>
    <row r="178" customFormat="false" ht="15" hidden="false" customHeight="false" outlineLevel="0" collapsed="false">
      <c r="A178" s="24" t="n">
        <f aca="false">IF(149&lt;=$B$11*12,149,"")</f>
        <v>149</v>
      </c>
      <c r="B178" s="25" t="n">
        <f aca="true">IF(149&lt;=$B$11*12,DATE(YEAR(TODAY()),MONTH(TODAY())+149,1),"")</f>
        <v>50649</v>
      </c>
      <c r="C178" s="26" t="n">
        <f aca="false">IF(149&lt;=$B$11*12,G177,"")</f>
        <v>304150.446373125</v>
      </c>
      <c r="D178" s="26" t="n">
        <f aca="false">IF(AND(149&lt;=$B$11*12,G177&gt;0),MIN($B$22,C178*(1+$B$18)),"")</f>
        <v>2695.71580825401</v>
      </c>
      <c r="E178" s="26" t="n">
        <f aca="false">IF(AND(149&lt;=$B$11*12,G177&gt;0),C178*$B$18,"")</f>
        <v>1251.80771371811</v>
      </c>
      <c r="F178" s="26" t="n">
        <f aca="false">IF(AND(149&lt;=$B$11*12,G177&gt;0),D178-E178,"")</f>
        <v>1443.9080945359</v>
      </c>
      <c r="G178" s="26" t="n">
        <f aca="false">IF(AND(149&lt;=$B$11*12,G177&gt;0),MAX(C178-F178,0),"")</f>
        <v>302706.538278589</v>
      </c>
    </row>
    <row r="179" customFormat="false" ht="15" hidden="false" customHeight="false" outlineLevel="0" collapsed="false">
      <c r="A179" s="27" t="n">
        <f aca="false">IF(150&lt;=$B$11*12,150,"")</f>
        <v>150</v>
      </c>
      <c r="B179" s="28" t="n">
        <f aca="true">IF(150&lt;=$B$11*12,DATE(YEAR(TODAY()),MONTH(TODAY())+150,1),"")</f>
        <v>50679</v>
      </c>
      <c r="C179" s="29" t="n">
        <f aca="false">IF(150&lt;=$B$11*12,G178,"")</f>
        <v>302706.538278589</v>
      </c>
      <c r="D179" s="29" t="n">
        <f aca="false">IF(AND(150&lt;=$B$11*12,G178&gt;0),MIN($B$22,C179*(1+$B$18)),"")</f>
        <v>2695.71580825401</v>
      </c>
      <c r="E179" s="29" t="n">
        <f aca="false">IF(AND(150&lt;=$B$11*12,G178&gt;0),C179*$B$18,"")</f>
        <v>1245.86494653761</v>
      </c>
      <c r="F179" s="29" t="n">
        <f aca="false">IF(AND(150&lt;=$B$11*12,G178&gt;0),D179-E179,"")</f>
        <v>1449.8508617164</v>
      </c>
      <c r="G179" s="29" t="n">
        <f aca="false">IF(AND(150&lt;=$B$11*12,G178&gt;0),MAX(C179-F179,0),"")</f>
        <v>301256.687416873</v>
      </c>
    </row>
    <row r="180" customFormat="false" ht="15" hidden="false" customHeight="false" outlineLevel="0" collapsed="false">
      <c r="A180" s="24" t="n">
        <f aca="false">IF(151&lt;=$B$11*12,151,"")</f>
        <v>151</v>
      </c>
      <c r="B180" s="25" t="n">
        <f aca="true">IF(151&lt;=$B$11*12,DATE(YEAR(TODAY()),MONTH(TODAY())+151,1),"")</f>
        <v>50710</v>
      </c>
      <c r="C180" s="26" t="n">
        <f aca="false">IF(151&lt;=$B$11*12,G179,"")</f>
        <v>301256.687416873</v>
      </c>
      <c r="D180" s="26" t="n">
        <f aca="false">IF(AND(151&lt;=$B$11*12,G179&gt;0),MIN($B$22,C180*(1+$B$18)),"")</f>
        <v>2695.71580825401</v>
      </c>
      <c r="E180" s="26" t="n">
        <f aca="false">IF(AND(151&lt;=$B$11*12,G179&gt;0),C180*$B$18,"")</f>
        <v>1239.89772040304</v>
      </c>
      <c r="F180" s="26" t="n">
        <f aca="false">IF(AND(151&lt;=$B$11*12,G179&gt;0),D180-E180,"")</f>
        <v>1455.81808785097</v>
      </c>
      <c r="G180" s="26" t="n">
        <f aca="false">IF(AND(151&lt;=$B$11*12,G179&gt;0),MAX(C180-F180,0),"")</f>
        <v>299800.869329022</v>
      </c>
    </row>
    <row r="181" customFormat="false" ht="15" hidden="false" customHeight="false" outlineLevel="0" collapsed="false">
      <c r="A181" s="27" t="n">
        <f aca="false">IF(152&lt;=$B$11*12,152,"")</f>
        <v>152</v>
      </c>
      <c r="B181" s="28" t="n">
        <f aca="true">IF(152&lt;=$B$11*12,DATE(YEAR(TODAY()),MONTH(TODAY())+152,1),"")</f>
        <v>50740</v>
      </c>
      <c r="C181" s="29" t="n">
        <f aca="false">IF(152&lt;=$B$11*12,G180,"")</f>
        <v>299800.869329022</v>
      </c>
      <c r="D181" s="29" t="n">
        <f aca="false">IF(AND(152&lt;=$B$11*12,G180&gt;0),MIN($B$22,C181*(1+$B$18)),"")</f>
        <v>2695.71580825401</v>
      </c>
      <c r="E181" s="29" t="n">
        <f aca="false">IF(AND(152&lt;=$B$11*12,G180&gt;0),C181*$B$18,"")</f>
        <v>1233.90593464743</v>
      </c>
      <c r="F181" s="29" t="n">
        <f aca="false">IF(AND(152&lt;=$B$11*12,G180&gt;0),D181-E181,"")</f>
        <v>1461.80987360658</v>
      </c>
      <c r="G181" s="29" t="n">
        <f aca="false">IF(AND(152&lt;=$B$11*12,G180&gt;0),MAX(C181-F181,0),"")</f>
        <v>298339.059455415</v>
      </c>
    </row>
    <row r="182" customFormat="false" ht="15" hidden="false" customHeight="false" outlineLevel="0" collapsed="false">
      <c r="A182" s="24" t="n">
        <f aca="false">IF(153&lt;=$B$11*12,153,"")</f>
        <v>153</v>
      </c>
      <c r="B182" s="25" t="n">
        <f aca="true">IF(153&lt;=$B$11*12,DATE(YEAR(TODAY()),MONTH(TODAY())+153,1),"")</f>
        <v>50771</v>
      </c>
      <c r="C182" s="26" t="n">
        <f aca="false">IF(153&lt;=$B$11*12,G181,"")</f>
        <v>298339.059455415</v>
      </c>
      <c r="D182" s="26" t="n">
        <f aca="false">IF(AND(153&lt;=$B$11*12,G181&gt;0),MIN($B$22,C182*(1+$B$18)),"")</f>
        <v>2695.71580825401</v>
      </c>
      <c r="E182" s="26" t="n">
        <f aca="false">IF(AND(153&lt;=$B$11*12,G181&gt;0),C182*$B$18,"")</f>
        <v>1227.88948818946</v>
      </c>
      <c r="F182" s="26" t="n">
        <f aca="false">IF(AND(153&lt;=$B$11*12,G181&gt;0),D182-E182,"")</f>
        <v>1467.82632006455</v>
      </c>
      <c r="G182" s="26" t="n">
        <f aca="false">IF(AND(153&lt;=$B$11*12,G181&gt;0),MAX(C182-F182,0),"")</f>
        <v>296871.233135351</v>
      </c>
    </row>
    <row r="183" customFormat="false" ht="15" hidden="false" customHeight="false" outlineLevel="0" collapsed="false">
      <c r="A183" s="27" t="n">
        <f aca="false">IF(154&lt;=$B$11*12,154,"")</f>
        <v>154</v>
      </c>
      <c r="B183" s="28" t="n">
        <f aca="true">IF(154&lt;=$B$11*12,DATE(YEAR(TODAY()),MONTH(TODAY())+154,1),"")</f>
        <v>50802</v>
      </c>
      <c r="C183" s="29" t="n">
        <f aca="false">IF(154&lt;=$B$11*12,G182,"")</f>
        <v>296871.233135351</v>
      </c>
      <c r="D183" s="29" t="n">
        <f aca="false">IF(AND(154&lt;=$B$11*12,G182&gt;0),MIN($B$22,C183*(1+$B$18)),"")</f>
        <v>2695.71580825401</v>
      </c>
      <c r="E183" s="29" t="n">
        <f aca="false">IF(AND(154&lt;=$B$11*12,G182&gt;0),C183*$B$18,"")</f>
        <v>1221.84827953182</v>
      </c>
      <c r="F183" s="29" t="n">
        <f aca="false">IF(AND(154&lt;=$B$11*12,G182&gt;0),D183-E183,"")</f>
        <v>1473.86752872219</v>
      </c>
      <c r="G183" s="29" t="n">
        <f aca="false">IF(AND(154&lt;=$B$11*12,G182&gt;0),MAX(C183-F183,0),"")</f>
        <v>295397.365606628</v>
      </c>
    </row>
    <row r="184" customFormat="false" ht="15" hidden="false" customHeight="false" outlineLevel="0" collapsed="false">
      <c r="A184" s="24" t="n">
        <f aca="false">IF(155&lt;=$B$11*12,155,"")</f>
        <v>155</v>
      </c>
      <c r="B184" s="25" t="n">
        <f aca="true">IF(155&lt;=$B$11*12,DATE(YEAR(TODAY()),MONTH(TODAY())+155,1),"")</f>
        <v>50830</v>
      </c>
      <c r="C184" s="26" t="n">
        <f aca="false">IF(155&lt;=$B$11*12,G183,"")</f>
        <v>295397.365606628</v>
      </c>
      <c r="D184" s="26" t="n">
        <f aca="false">IF(AND(155&lt;=$B$11*12,G183&gt;0),MIN($B$22,C184*(1+$B$18)),"")</f>
        <v>2695.71580825401</v>
      </c>
      <c r="E184" s="26" t="n">
        <f aca="false">IF(AND(155&lt;=$B$11*12,G183&gt;0),C184*$B$18,"")</f>
        <v>1215.78220675943</v>
      </c>
      <c r="F184" s="26" t="n">
        <f aca="false">IF(AND(155&lt;=$B$11*12,G183&gt;0),D184-E184,"")</f>
        <v>1479.93360149457</v>
      </c>
      <c r="G184" s="26" t="n">
        <f aca="false">IF(AND(155&lt;=$B$11*12,G183&gt;0),MAX(C184-F184,0),"")</f>
        <v>293917.432005134</v>
      </c>
    </row>
    <row r="185" customFormat="false" ht="15" hidden="false" customHeight="false" outlineLevel="0" collapsed="false">
      <c r="A185" s="27" t="n">
        <f aca="false">IF(156&lt;=$B$11*12,156,"")</f>
        <v>156</v>
      </c>
      <c r="B185" s="28" t="n">
        <f aca="true">IF(156&lt;=$B$11*12,DATE(YEAR(TODAY()),MONTH(TODAY())+156,1),"")</f>
        <v>50861</v>
      </c>
      <c r="C185" s="29" t="n">
        <f aca="false">IF(156&lt;=$B$11*12,G184,"")</f>
        <v>293917.432005134</v>
      </c>
      <c r="D185" s="29" t="n">
        <f aca="false">IF(AND(156&lt;=$B$11*12,G184&gt;0),MIN($B$22,C185*(1+$B$18)),"")</f>
        <v>2695.71580825401</v>
      </c>
      <c r="E185" s="29" t="n">
        <f aca="false">IF(AND(156&lt;=$B$11*12,G184&gt;0),C185*$B$18,"")</f>
        <v>1209.69116753778</v>
      </c>
      <c r="F185" s="29" t="n">
        <f aca="false">IF(AND(156&lt;=$B$11*12,G184&gt;0),D185-E185,"")</f>
        <v>1486.02464071623</v>
      </c>
      <c r="G185" s="29" t="n">
        <f aca="false">IF(AND(156&lt;=$B$11*12,G184&gt;0),MAX(C185-F185,0),"")</f>
        <v>292431.407364418</v>
      </c>
    </row>
    <row r="186" customFormat="false" ht="15" hidden="false" customHeight="false" outlineLevel="0" collapsed="false">
      <c r="A186" s="24" t="n">
        <f aca="false">IF(157&lt;=$B$11*12,157,"")</f>
        <v>157</v>
      </c>
      <c r="B186" s="25" t="n">
        <f aca="true">IF(157&lt;=$B$11*12,DATE(YEAR(TODAY()),MONTH(TODAY())+157,1),"")</f>
        <v>50891</v>
      </c>
      <c r="C186" s="26" t="n">
        <f aca="false">IF(157&lt;=$B$11*12,G185,"")</f>
        <v>292431.407364418</v>
      </c>
      <c r="D186" s="26" t="n">
        <f aca="false">IF(AND(157&lt;=$B$11*12,G185&gt;0),MIN($B$22,C186*(1+$B$18)),"")</f>
        <v>2695.71580825401</v>
      </c>
      <c r="E186" s="26" t="n">
        <f aca="false">IF(AND(157&lt;=$B$11*12,G185&gt;0),C186*$B$18,"")</f>
        <v>1203.57505911116</v>
      </c>
      <c r="F186" s="26" t="n">
        <f aca="false">IF(AND(157&lt;=$B$11*12,G185&gt;0),D186-E186,"")</f>
        <v>1492.14074914285</v>
      </c>
      <c r="G186" s="26" t="n">
        <f aca="false">IF(AND(157&lt;=$B$11*12,G185&gt;0),MAX(C186-F186,0),"")</f>
        <v>290939.266615275</v>
      </c>
    </row>
    <row r="187" customFormat="false" ht="15" hidden="false" customHeight="false" outlineLevel="0" collapsed="false">
      <c r="A187" s="27" t="n">
        <f aca="false">IF(158&lt;=$B$11*12,158,"")</f>
        <v>158</v>
      </c>
      <c r="B187" s="28" t="n">
        <f aca="true">IF(158&lt;=$B$11*12,DATE(YEAR(TODAY()),MONTH(TODAY())+158,1),"")</f>
        <v>50922</v>
      </c>
      <c r="C187" s="29" t="n">
        <f aca="false">IF(158&lt;=$B$11*12,G186,"")</f>
        <v>290939.266615275</v>
      </c>
      <c r="D187" s="29" t="n">
        <f aca="false">IF(AND(158&lt;=$B$11*12,G186&gt;0),MIN($B$22,C187*(1+$B$18)),"")</f>
        <v>2695.71580825401</v>
      </c>
      <c r="E187" s="29" t="n">
        <f aca="false">IF(AND(158&lt;=$B$11*12,G186&gt;0),C187*$B$18,"")</f>
        <v>1197.43377830094</v>
      </c>
      <c r="F187" s="29" t="n">
        <f aca="false">IF(AND(158&lt;=$B$11*12,G186&gt;0),D187-E187,"")</f>
        <v>1498.28202995307</v>
      </c>
      <c r="G187" s="29" t="n">
        <f aca="false">IF(AND(158&lt;=$B$11*12,G186&gt;0),MAX(C187-F187,0),"")</f>
        <v>289440.984585322</v>
      </c>
    </row>
    <row r="188" customFormat="false" ht="15" hidden="false" customHeight="false" outlineLevel="0" collapsed="false">
      <c r="A188" s="24" t="n">
        <f aca="false">IF(159&lt;=$B$11*12,159,"")</f>
        <v>159</v>
      </c>
      <c r="B188" s="25" t="n">
        <f aca="true">IF(159&lt;=$B$11*12,DATE(YEAR(TODAY()),MONTH(TODAY())+159,1),"")</f>
        <v>50952</v>
      </c>
      <c r="C188" s="26" t="n">
        <f aca="false">IF(159&lt;=$B$11*12,G187,"")</f>
        <v>289440.984585322</v>
      </c>
      <c r="D188" s="26" t="n">
        <f aca="false">IF(AND(159&lt;=$B$11*12,G187&gt;0),MIN($B$22,C188*(1+$B$18)),"")</f>
        <v>2695.71580825401</v>
      </c>
      <c r="E188" s="26" t="n">
        <f aca="false">IF(AND(159&lt;=$B$11*12,G187&gt;0),C188*$B$18,"")</f>
        <v>1191.26722150385</v>
      </c>
      <c r="F188" s="26" t="n">
        <f aca="false">IF(AND(159&lt;=$B$11*12,G187&gt;0),D188-E188,"")</f>
        <v>1504.44858675016</v>
      </c>
      <c r="G188" s="26" t="n">
        <f aca="false">IF(AND(159&lt;=$B$11*12,G187&gt;0),MAX(C188-F188,0),"")</f>
        <v>287936.535998572</v>
      </c>
    </row>
    <row r="189" customFormat="false" ht="15" hidden="false" customHeight="false" outlineLevel="0" collapsed="false">
      <c r="A189" s="27" t="n">
        <f aca="false">IF(160&lt;=$B$11*12,160,"")</f>
        <v>160</v>
      </c>
      <c r="B189" s="28" t="n">
        <f aca="true">IF(160&lt;=$B$11*12,DATE(YEAR(TODAY()),MONTH(TODAY())+160,1),"")</f>
        <v>50983</v>
      </c>
      <c r="C189" s="29" t="n">
        <f aca="false">IF(160&lt;=$B$11*12,G188,"")</f>
        <v>287936.535998572</v>
      </c>
      <c r="D189" s="29" t="n">
        <f aca="false">IF(AND(160&lt;=$B$11*12,G188&gt;0),MIN($B$22,C189*(1+$B$18)),"")</f>
        <v>2695.71580825401</v>
      </c>
      <c r="E189" s="29" t="n">
        <f aca="false">IF(AND(160&lt;=$B$11*12,G188&gt;0),C189*$B$18,"")</f>
        <v>1185.0752846902</v>
      </c>
      <c r="F189" s="29" t="n">
        <f aca="false">IF(AND(160&lt;=$B$11*12,G188&gt;0),D189-E189,"")</f>
        <v>1510.64052356381</v>
      </c>
      <c r="G189" s="29" t="n">
        <f aca="false">IF(AND(160&lt;=$B$11*12,G188&gt;0),MAX(C189-F189,0),"")</f>
        <v>286425.895475008</v>
      </c>
    </row>
    <row r="190" customFormat="false" ht="15" hidden="false" customHeight="false" outlineLevel="0" collapsed="false">
      <c r="A190" s="24" t="n">
        <f aca="false">IF(161&lt;=$B$11*12,161,"")</f>
        <v>161</v>
      </c>
      <c r="B190" s="25" t="n">
        <f aca="true">IF(161&lt;=$B$11*12,DATE(YEAR(TODAY()),MONTH(TODAY())+161,1),"")</f>
        <v>51014</v>
      </c>
      <c r="C190" s="26" t="n">
        <f aca="false">IF(161&lt;=$B$11*12,G189,"")</f>
        <v>286425.895475008</v>
      </c>
      <c r="D190" s="26" t="n">
        <f aca="false">IF(AND(161&lt;=$B$11*12,G189&gt;0),MIN($B$22,C190*(1+$B$18)),"")</f>
        <v>2695.71580825401</v>
      </c>
      <c r="E190" s="26" t="n">
        <f aca="false">IF(AND(161&lt;=$B$11*12,G189&gt;0),C190*$B$18,"")</f>
        <v>1178.85786340214</v>
      </c>
      <c r="F190" s="26" t="n">
        <f aca="false">IF(AND(161&lt;=$B$11*12,G189&gt;0),D190-E190,"")</f>
        <v>1516.85794485186</v>
      </c>
      <c r="G190" s="26" t="n">
        <f aca="false">IF(AND(161&lt;=$B$11*12,G189&gt;0),MAX(C190-F190,0),"")</f>
        <v>284909.037530156</v>
      </c>
    </row>
    <row r="191" customFormat="false" ht="15" hidden="false" customHeight="false" outlineLevel="0" collapsed="false">
      <c r="A191" s="27" t="n">
        <f aca="false">IF(162&lt;=$B$11*12,162,"")</f>
        <v>162</v>
      </c>
      <c r="B191" s="28" t="n">
        <f aca="true">IF(162&lt;=$B$11*12,DATE(YEAR(TODAY()),MONTH(TODAY())+162,1),"")</f>
        <v>51044</v>
      </c>
      <c r="C191" s="29" t="n">
        <f aca="false">IF(162&lt;=$B$11*12,G190,"")</f>
        <v>284909.037530156</v>
      </c>
      <c r="D191" s="29" t="n">
        <f aca="false">IF(AND(162&lt;=$B$11*12,G190&gt;0),MIN($B$22,C191*(1+$B$18)),"")</f>
        <v>2695.71580825401</v>
      </c>
      <c r="E191" s="29" t="n">
        <f aca="false">IF(AND(162&lt;=$B$11*12,G190&gt;0),C191*$B$18,"")</f>
        <v>1172.61485275191</v>
      </c>
      <c r="F191" s="29" t="n">
        <f aca="false">IF(AND(162&lt;=$B$11*12,G190&gt;0),D191-E191,"")</f>
        <v>1523.1009555021</v>
      </c>
      <c r="G191" s="29" t="n">
        <f aca="false">IF(AND(162&lt;=$B$11*12,G190&gt;0),MAX(C191-F191,0),"")</f>
        <v>283385.936574654</v>
      </c>
    </row>
    <row r="192" customFormat="false" ht="15" hidden="false" customHeight="false" outlineLevel="0" collapsed="false">
      <c r="A192" s="24" t="n">
        <f aca="false">IF(163&lt;=$B$11*12,163,"")</f>
        <v>163</v>
      </c>
      <c r="B192" s="25" t="n">
        <f aca="true">IF(163&lt;=$B$11*12,DATE(YEAR(TODAY()),MONTH(TODAY())+163,1),"")</f>
        <v>51075</v>
      </c>
      <c r="C192" s="26" t="n">
        <f aca="false">IF(163&lt;=$B$11*12,G191,"")</f>
        <v>283385.936574654</v>
      </c>
      <c r="D192" s="26" t="n">
        <f aca="false">IF(AND(163&lt;=$B$11*12,G191&gt;0),MIN($B$22,C192*(1+$B$18)),"")</f>
        <v>2695.71580825401</v>
      </c>
      <c r="E192" s="26" t="n">
        <f aca="false">IF(AND(163&lt;=$B$11*12,G191&gt;0),C192*$B$18,"")</f>
        <v>1166.34614742005</v>
      </c>
      <c r="F192" s="26" t="n">
        <f aca="false">IF(AND(163&lt;=$B$11*12,G191&gt;0),D192-E192,"")</f>
        <v>1529.36966083396</v>
      </c>
      <c r="G192" s="26" t="n">
        <f aca="false">IF(AND(163&lt;=$B$11*12,G191&gt;0),MAX(C192-F192,0),"")</f>
        <v>281856.56691382</v>
      </c>
    </row>
    <row r="193" customFormat="false" ht="15" hidden="false" customHeight="false" outlineLevel="0" collapsed="false">
      <c r="A193" s="27" t="n">
        <f aca="false">IF(164&lt;=$B$11*12,164,"")</f>
        <v>164</v>
      </c>
      <c r="B193" s="28" t="n">
        <f aca="true">IF(164&lt;=$B$11*12,DATE(YEAR(TODAY()),MONTH(TODAY())+164,1),"")</f>
        <v>51105</v>
      </c>
      <c r="C193" s="29" t="n">
        <f aca="false">IF(164&lt;=$B$11*12,G192,"")</f>
        <v>281856.56691382</v>
      </c>
      <c r="D193" s="29" t="n">
        <f aca="false">IF(AND(164&lt;=$B$11*12,G192&gt;0),MIN($B$22,C193*(1+$B$18)),"")</f>
        <v>2695.71580825401</v>
      </c>
      <c r="E193" s="29" t="n">
        <f aca="false">IF(AND(164&lt;=$B$11*12,G192&gt;0),C193*$B$18,"")</f>
        <v>1160.05164165361</v>
      </c>
      <c r="F193" s="29" t="n">
        <f aca="false">IF(AND(164&lt;=$B$11*12,G192&gt;0),D193-E193,"")</f>
        <v>1535.66416660039</v>
      </c>
      <c r="G193" s="29" t="n">
        <f aca="false">IF(AND(164&lt;=$B$11*12,G192&gt;0),MAX(C193-F193,0),"")</f>
        <v>280320.902747219</v>
      </c>
    </row>
    <row r="194" customFormat="false" ht="15" hidden="false" customHeight="false" outlineLevel="0" collapsed="false">
      <c r="A194" s="24" t="n">
        <f aca="false">IF(165&lt;=$B$11*12,165,"")</f>
        <v>165</v>
      </c>
      <c r="B194" s="25" t="n">
        <f aca="true">IF(165&lt;=$B$11*12,DATE(YEAR(TODAY()),MONTH(TODAY())+165,1),"")</f>
        <v>51136</v>
      </c>
      <c r="C194" s="26" t="n">
        <f aca="false">IF(165&lt;=$B$11*12,G193,"")</f>
        <v>280320.902747219</v>
      </c>
      <c r="D194" s="26" t="n">
        <f aca="false">IF(AND(165&lt;=$B$11*12,G193&gt;0),MIN($B$22,C194*(1+$B$18)),"")</f>
        <v>2695.71580825401</v>
      </c>
      <c r="E194" s="26" t="n">
        <f aca="false">IF(AND(165&lt;=$B$11*12,G193&gt;0),C194*$B$18,"")</f>
        <v>1153.73122926444</v>
      </c>
      <c r="F194" s="26" t="n">
        <f aca="false">IF(AND(165&lt;=$B$11*12,G193&gt;0),D194-E194,"")</f>
        <v>1541.98457898957</v>
      </c>
      <c r="G194" s="26" t="n">
        <f aca="false">IF(AND(165&lt;=$B$11*12,G193&gt;0),MAX(C194-F194,0),"")</f>
        <v>278778.91816823</v>
      </c>
    </row>
    <row r="195" customFormat="false" ht="15" hidden="false" customHeight="false" outlineLevel="0" collapsed="false">
      <c r="A195" s="27" t="n">
        <f aca="false">IF(166&lt;=$B$11*12,166,"")</f>
        <v>166</v>
      </c>
      <c r="B195" s="28" t="n">
        <f aca="true">IF(166&lt;=$B$11*12,DATE(YEAR(TODAY()),MONTH(TODAY())+166,1),"")</f>
        <v>51167</v>
      </c>
      <c r="C195" s="29" t="n">
        <f aca="false">IF(166&lt;=$B$11*12,G194,"")</f>
        <v>278778.91816823</v>
      </c>
      <c r="D195" s="29" t="n">
        <f aca="false">IF(AND(166&lt;=$B$11*12,G194&gt;0),MIN($B$22,C195*(1+$B$18)),"")</f>
        <v>2695.71580825401</v>
      </c>
      <c r="E195" s="29" t="n">
        <f aca="false">IF(AND(166&lt;=$B$11*12,G194&gt;0),C195*$B$18,"")</f>
        <v>1147.38480362728</v>
      </c>
      <c r="F195" s="29" t="n">
        <f aca="false">IF(AND(166&lt;=$B$11*12,G194&gt;0),D195-E195,"")</f>
        <v>1548.33100462672</v>
      </c>
      <c r="G195" s="29" t="n">
        <f aca="false">IF(AND(166&lt;=$B$11*12,G194&gt;0),MAX(C195-F195,0),"")</f>
        <v>277230.587163603</v>
      </c>
    </row>
    <row r="196" customFormat="false" ht="15" hidden="false" customHeight="false" outlineLevel="0" collapsed="false">
      <c r="A196" s="24" t="n">
        <f aca="false">IF(167&lt;=$B$11*12,167,"")</f>
        <v>167</v>
      </c>
      <c r="B196" s="25" t="n">
        <f aca="true">IF(167&lt;=$B$11*12,DATE(YEAR(TODAY()),MONTH(TODAY())+167,1),"")</f>
        <v>51196</v>
      </c>
      <c r="C196" s="26" t="n">
        <f aca="false">IF(167&lt;=$B$11*12,G195,"")</f>
        <v>277230.587163603</v>
      </c>
      <c r="D196" s="26" t="n">
        <f aca="false">IF(AND(167&lt;=$B$11*12,G195&gt;0),MIN($B$22,C196*(1+$B$18)),"")</f>
        <v>2695.71580825401</v>
      </c>
      <c r="E196" s="26" t="n">
        <f aca="false">IF(AND(167&lt;=$B$11*12,G195&gt;0),C196*$B$18,"")</f>
        <v>1141.01225767809</v>
      </c>
      <c r="F196" s="26" t="n">
        <f aca="false">IF(AND(167&lt;=$B$11*12,G195&gt;0),D196-E196,"")</f>
        <v>1554.70355057592</v>
      </c>
      <c r="G196" s="26" t="n">
        <f aca="false">IF(AND(167&lt;=$B$11*12,G195&gt;0),MAX(C196-F196,0),"")</f>
        <v>275675.883613027</v>
      </c>
    </row>
    <row r="197" customFormat="false" ht="15" hidden="false" customHeight="false" outlineLevel="0" collapsed="false">
      <c r="A197" s="27" t="n">
        <f aca="false">IF(168&lt;=$B$11*12,168,"")</f>
        <v>168</v>
      </c>
      <c r="B197" s="28" t="n">
        <f aca="true">IF(168&lt;=$B$11*12,DATE(YEAR(TODAY()),MONTH(TODAY())+168,1),"")</f>
        <v>51227</v>
      </c>
      <c r="C197" s="29" t="n">
        <f aca="false">IF(168&lt;=$B$11*12,G196,"")</f>
        <v>275675.883613027</v>
      </c>
      <c r="D197" s="29" t="n">
        <f aca="false">IF(AND(168&lt;=$B$11*12,G196&gt;0),MIN($B$22,C197*(1+$B$18)),"")</f>
        <v>2695.71580825401</v>
      </c>
      <c r="E197" s="29" t="n">
        <f aca="false">IF(AND(168&lt;=$B$11*12,G196&gt;0),C197*$B$18,"")</f>
        <v>1134.61348391213</v>
      </c>
      <c r="F197" s="29" t="n">
        <f aca="false">IF(AND(168&lt;=$B$11*12,G196&gt;0),D197-E197,"")</f>
        <v>1561.10232434187</v>
      </c>
      <c r="G197" s="29" t="n">
        <f aca="false">IF(AND(168&lt;=$B$11*12,G196&gt;0),MAX(C197-F197,0),"")</f>
        <v>274114.781288685</v>
      </c>
    </row>
    <row r="198" customFormat="false" ht="15" hidden="false" customHeight="false" outlineLevel="0" collapsed="false">
      <c r="A198" s="24" t="n">
        <f aca="false">IF(169&lt;=$B$11*12,169,"")</f>
        <v>169</v>
      </c>
      <c r="B198" s="25" t="n">
        <f aca="true">IF(169&lt;=$B$11*12,DATE(YEAR(TODAY()),MONTH(TODAY())+169,1),"")</f>
        <v>51257</v>
      </c>
      <c r="C198" s="26" t="n">
        <f aca="false">IF(169&lt;=$B$11*12,G197,"")</f>
        <v>274114.781288685</v>
      </c>
      <c r="D198" s="26" t="n">
        <f aca="false">IF(AND(169&lt;=$B$11*12,G197&gt;0),MIN($B$22,C198*(1+$B$18)),"")</f>
        <v>2695.71580825401</v>
      </c>
      <c r="E198" s="26" t="n">
        <f aca="false">IF(AND(169&lt;=$B$11*12,G197&gt;0),C198*$B$18,"")</f>
        <v>1128.18837438224</v>
      </c>
      <c r="F198" s="26" t="n">
        <f aca="false">IF(AND(169&lt;=$B$11*12,G197&gt;0),D198-E198,"")</f>
        <v>1567.52743387177</v>
      </c>
      <c r="G198" s="26" t="n">
        <f aca="false">IF(AND(169&lt;=$B$11*12,G197&gt;0),MAX(C198-F198,0),"")</f>
        <v>272547.253854814</v>
      </c>
    </row>
    <row r="199" customFormat="false" ht="15" hidden="false" customHeight="false" outlineLevel="0" collapsed="false">
      <c r="A199" s="27" t="n">
        <f aca="false">IF(170&lt;=$B$11*12,170,"")</f>
        <v>170</v>
      </c>
      <c r="B199" s="28" t="n">
        <f aca="true">IF(170&lt;=$B$11*12,DATE(YEAR(TODAY()),MONTH(TODAY())+170,1),"")</f>
        <v>51288</v>
      </c>
      <c r="C199" s="29" t="n">
        <f aca="false">IF(170&lt;=$B$11*12,G198,"")</f>
        <v>272547.253854814</v>
      </c>
      <c r="D199" s="29" t="n">
        <f aca="false">IF(AND(170&lt;=$B$11*12,G198&gt;0),MIN($B$22,C199*(1+$B$18)),"")</f>
        <v>2695.71580825401</v>
      </c>
      <c r="E199" s="29" t="n">
        <f aca="false">IF(AND(170&lt;=$B$11*12,G198&gt;0),C199*$B$18,"")</f>
        <v>1121.73682069693</v>
      </c>
      <c r="F199" s="29" t="n">
        <f aca="false">IF(AND(170&lt;=$B$11*12,G198&gt;0),D199-E199,"")</f>
        <v>1573.97898755707</v>
      </c>
      <c r="G199" s="29" t="n">
        <f aca="false">IF(AND(170&lt;=$B$11*12,G198&gt;0),MAX(C199-F199,0),"")</f>
        <v>270973.274867257</v>
      </c>
    </row>
    <row r="200" customFormat="false" ht="15" hidden="false" customHeight="false" outlineLevel="0" collapsed="false">
      <c r="A200" s="24" t="n">
        <f aca="false">IF(171&lt;=$B$11*12,171,"")</f>
        <v>171</v>
      </c>
      <c r="B200" s="25" t="n">
        <f aca="true">IF(171&lt;=$B$11*12,DATE(YEAR(TODAY()),MONTH(TODAY())+171,1),"")</f>
        <v>51318</v>
      </c>
      <c r="C200" s="26" t="n">
        <f aca="false">IF(171&lt;=$B$11*12,G199,"")</f>
        <v>270973.274867257</v>
      </c>
      <c r="D200" s="26" t="n">
        <f aca="false">IF(AND(171&lt;=$B$11*12,G199&gt;0),MIN($B$22,C200*(1+$B$18)),"")</f>
        <v>2695.71580825401</v>
      </c>
      <c r="E200" s="26" t="n">
        <f aca="false">IF(AND(171&lt;=$B$11*12,G199&gt;0),C200*$B$18,"")</f>
        <v>1115.25871401865</v>
      </c>
      <c r="F200" s="26" t="n">
        <f aca="false">IF(AND(171&lt;=$B$11*12,G199&gt;0),D200-E200,"")</f>
        <v>1580.45709423536</v>
      </c>
      <c r="G200" s="26" t="n">
        <f aca="false">IF(AND(171&lt;=$B$11*12,G199&gt;0),MAX(C200-F200,0),"")</f>
        <v>269392.817773021</v>
      </c>
    </row>
    <row r="201" customFormat="false" ht="15" hidden="false" customHeight="false" outlineLevel="0" collapsed="false">
      <c r="A201" s="27" t="n">
        <f aca="false">IF(172&lt;=$B$11*12,172,"")</f>
        <v>172</v>
      </c>
      <c r="B201" s="28" t="n">
        <f aca="true">IF(172&lt;=$B$11*12,DATE(YEAR(TODAY()),MONTH(TODAY())+172,1),"")</f>
        <v>51349</v>
      </c>
      <c r="C201" s="29" t="n">
        <f aca="false">IF(172&lt;=$B$11*12,G200,"")</f>
        <v>269392.817773021</v>
      </c>
      <c r="D201" s="29" t="n">
        <f aca="false">IF(AND(172&lt;=$B$11*12,G200&gt;0),MIN($B$22,C201*(1+$B$18)),"")</f>
        <v>2695.71580825401</v>
      </c>
      <c r="E201" s="29" t="n">
        <f aca="false">IF(AND(172&lt;=$B$11*12,G200&gt;0),C201*$B$18,"")</f>
        <v>1108.75394506185</v>
      </c>
      <c r="F201" s="29" t="n">
        <f aca="false">IF(AND(172&lt;=$B$11*12,G200&gt;0),D201-E201,"")</f>
        <v>1586.96186319216</v>
      </c>
      <c r="G201" s="29" t="n">
        <f aca="false">IF(AND(172&lt;=$B$11*12,G200&gt;0),MAX(C201-F201,0),"")</f>
        <v>267805.855909829</v>
      </c>
    </row>
    <row r="202" customFormat="false" ht="15" hidden="false" customHeight="false" outlineLevel="0" collapsed="false">
      <c r="A202" s="24" t="n">
        <f aca="false">IF(173&lt;=$B$11*12,173,"")</f>
        <v>173</v>
      </c>
      <c r="B202" s="25" t="n">
        <f aca="true">IF(173&lt;=$B$11*12,DATE(YEAR(TODAY()),MONTH(TODAY())+173,1),"")</f>
        <v>51380</v>
      </c>
      <c r="C202" s="26" t="n">
        <f aca="false">IF(173&lt;=$B$11*12,G201,"")</f>
        <v>267805.855909829</v>
      </c>
      <c r="D202" s="26" t="n">
        <f aca="false">IF(AND(173&lt;=$B$11*12,G201&gt;0),MIN($B$22,C202*(1+$B$18)),"")</f>
        <v>2695.71580825401</v>
      </c>
      <c r="E202" s="26" t="n">
        <f aca="false">IF(AND(173&lt;=$B$11*12,G201&gt;0),C202*$B$18,"")</f>
        <v>1102.22240409122</v>
      </c>
      <c r="F202" s="26" t="n">
        <f aca="false">IF(AND(173&lt;=$B$11*12,G201&gt;0),D202-E202,"")</f>
        <v>1593.49340416279</v>
      </c>
      <c r="G202" s="26" t="n">
        <f aca="false">IF(AND(173&lt;=$B$11*12,G201&gt;0),MAX(C202-F202,0),"")</f>
        <v>266212.362505666</v>
      </c>
    </row>
    <row r="203" customFormat="false" ht="15" hidden="false" customHeight="false" outlineLevel="0" collapsed="false">
      <c r="A203" s="27" t="n">
        <f aca="false">IF(174&lt;=$B$11*12,174,"")</f>
        <v>174</v>
      </c>
      <c r="B203" s="28" t="n">
        <f aca="true">IF(174&lt;=$B$11*12,DATE(YEAR(TODAY()),MONTH(TODAY())+174,1),"")</f>
        <v>51410</v>
      </c>
      <c r="C203" s="29" t="n">
        <f aca="false">IF(174&lt;=$B$11*12,G202,"")</f>
        <v>266212.362505666</v>
      </c>
      <c r="D203" s="29" t="n">
        <f aca="false">IF(AND(174&lt;=$B$11*12,G202&gt;0),MIN($B$22,C203*(1+$B$18)),"")</f>
        <v>2695.71580825401</v>
      </c>
      <c r="E203" s="29" t="n">
        <f aca="false">IF(AND(174&lt;=$B$11*12,G202&gt;0),C203*$B$18,"")</f>
        <v>1095.6639809198</v>
      </c>
      <c r="F203" s="29" t="n">
        <f aca="false">IF(AND(174&lt;=$B$11*12,G202&gt;0),D203-E203,"")</f>
        <v>1600.0518273342</v>
      </c>
      <c r="G203" s="29" t="n">
        <f aca="false">IF(AND(174&lt;=$B$11*12,G202&gt;0),MAX(C203-F203,0),"")</f>
        <v>264612.310678332</v>
      </c>
    </row>
    <row r="204" customFormat="false" ht="15" hidden="false" customHeight="false" outlineLevel="0" collapsed="false">
      <c r="A204" s="24" t="n">
        <f aca="false">IF(175&lt;=$B$11*12,175,"")</f>
        <v>175</v>
      </c>
      <c r="B204" s="25" t="n">
        <f aca="true">IF(175&lt;=$B$11*12,DATE(YEAR(TODAY()),MONTH(TODAY())+175,1),"")</f>
        <v>51441</v>
      </c>
      <c r="C204" s="26" t="n">
        <f aca="false">IF(175&lt;=$B$11*12,G203,"")</f>
        <v>264612.310678332</v>
      </c>
      <c r="D204" s="26" t="n">
        <f aca="false">IF(AND(175&lt;=$B$11*12,G203&gt;0),MIN($B$22,C204*(1+$B$18)),"")</f>
        <v>2695.71580825401</v>
      </c>
      <c r="E204" s="26" t="n">
        <f aca="false">IF(AND(175&lt;=$B$11*12,G203&gt;0),C204*$B$18,"")</f>
        <v>1089.07856490714</v>
      </c>
      <c r="F204" s="26" t="n">
        <f aca="false">IF(AND(175&lt;=$B$11*12,G203&gt;0),D204-E204,"")</f>
        <v>1606.63724334687</v>
      </c>
      <c r="G204" s="26" t="n">
        <f aca="false">IF(AND(175&lt;=$B$11*12,G203&gt;0),MAX(C204-F204,0),"")</f>
        <v>263005.673434985</v>
      </c>
    </row>
    <row r="205" customFormat="false" ht="15" hidden="false" customHeight="false" outlineLevel="0" collapsed="false">
      <c r="A205" s="27" t="n">
        <f aca="false">IF(176&lt;=$B$11*12,176,"")</f>
        <v>176</v>
      </c>
      <c r="B205" s="28" t="n">
        <f aca="true">IF(176&lt;=$B$11*12,DATE(YEAR(TODAY()),MONTH(TODAY())+176,1),"")</f>
        <v>51471</v>
      </c>
      <c r="C205" s="29" t="n">
        <f aca="false">IF(176&lt;=$B$11*12,G204,"")</f>
        <v>263005.673434985</v>
      </c>
      <c r="D205" s="29" t="n">
        <f aca="false">IF(AND(176&lt;=$B$11*12,G204&gt;0),MIN($B$22,C205*(1+$B$18)),"")</f>
        <v>2695.71580825401</v>
      </c>
      <c r="E205" s="29" t="n">
        <f aca="false">IF(AND(176&lt;=$B$11*12,G204&gt;0),C205*$B$18,"")</f>
        <v>1082.46604495738</v>
      </c>
      <c r="F205" s="29" t="n">
        <f aca="false">IF(AND(176&lt;=$B$11*12,G204&gt;0),D205-E205,"")</f>
        <v>1613.24976329662</v>
      </c>
      <c r="G205" s="29" t="n">
        <f aca="false">IF(AND(176&lt;=$B$11*12,G204&gt;0),MAX(C205-F205,0),"")</f>
        <v>261392.423671688</v>
      </c>
    </row>
    <row r="206" customFormat="false" ht="15" hidden="false" customHeight="false" outlineLevel="0" collapsed="false">
      <c r="A206" s="24" t="n">
        <f aca="false">IF(177&lt;=$B$11*12,177,"")</f>
        <v>177</v>
      </c>
      <c r="B206" s="25" t="n">
        <f aca="true">IF(177&lt;=$B$11*12,DATE(YEAR(TODAY()),MONTH(TODAY())+177,1),"")</f>
        <v>51502</v>
      </c>
      <c r="C206" s="26" t="n">
        <f aca="false">IF(177&lt;=$B$11*12,G205,"")</f>
        <v>261392.423671688</v>
      </c>
      <c r="D206" s="26" t="n">
        <f aca="false">IF(AND(177&lt;=$B$11*12,G205&gt;0),MIN($B$22,C206*(1+$B$18)),"")</f>
        <v>2695.71580825401</v>
      </c>
      <c r="E206" s="26" t="n">
        <f aca="false">IF(AND(177&lt;=$B$11*12,G205&gt;0),C206*$B$18,"")</f>
        <v>1075.82630951747</v>
      </c>
      <c r="F206" s="26" t="n">
        <f aca="false">IF(AND(177&lt;=$B$11*12,G205&gt;0),D206-E206,"")</f>
        <v>1619.88949873654</v>
      </c>
      <c r="G206" s="26" t="n">
        <f aca="false">IF(AND(177&lt;=$B$11*12,G205&gt;0),MAX(C206-F206,0),"")</f>
        <v>259772.534172952</v>
      </c>
    </row>
    <row r="207" customFormat="false" ht="15" hidden="false" customHeight="false" outlineLevel="0" collapsed="false">
      <c r="A207" s="27" t="n">
        <f aca="false">IF(178&lt;=$B$11*12,178,"")</f>
        <v>178</v>
      </c>
      <c r="B207" s="28" t="n">
        <f aca="true">IF(178&lt;=$B$11*12,DATE(YEAR(TODAY()),MONTH(TODAY())+178,1),"")</f>
        <v>51533</v>
      </c>
      <c r="C207" s="29" t="n">
        <f aca="false">IF(178&lt;=$B$11*12,G206,"")</f>
        <v>259772.534172952</v>
      </c>
      <c r="D207" s="29" t="n">
        <f aca="false">IF(AND(178&lt;=$B$11*12,G206&gt;0),MIN($B$22,C207*(1+$B$18)),"")</f>
        <v>2695.71580825401</v>
      </c>
      <c r="E207" s="29" t="n">
        <f aca="false">IF(AND(178&lt;=$B$11*12,G206&gt;0),C207*$B$18,"")</f>
        <v>1069.1592465752</v>
      </c>
      <c r="F207" s="29" t="n">
        <f aca="false">IF(AND(178&lt;=$B$11*12,G206&gt;0),D207-E207,"")</f>
        <v>1626.55656167881</v>
      </c>
      <c r="G207" s="29" t="n">
        <f aca="false">IF(AND(178&lt;=$B$11*12,G206&gt;0),MAX(C207-F207,0),"")</f>
        <v>258145.977611273</v>
      </c>
    </row>
    <row r="208" customFormat="false" ht="15" hidden="false" customHeight="false" outlineLevel="0" collapsed="false">
      <c r="A208" s="24" t="n">
        <f aca="false">IF(179&lt;=$B$11*12,179,"")</f>
        <v>179</v>
      </c>
      <c r="B208" s="25" t="n">
        <f aca="true">IF(179&lt;=$B$11*12,DATE(YEAR(TODAY()),MONTH(TODAY())+179,1),"")</f>
        <v>51561</v>
      </c>
      <c r="C208" s="26" t="n">
        <f aca="false">IF(179&lt;=$B$11*12,G207,"")</f>
        <v>258145.977611273</v>
      </c>
      <c r="D208" s="26" t="n">
        <f aca="false">IF(AND(179&lt;=$B$11*12,G207&gt;0),MIN($B$22,C208*(1+$B$18)),"")</f>
        <v>2695.71580825401</v>
      </c>
      <c r="E208" s="26" t="n">
        <f aca="false">IF(AND(179&lt;=$B$11*12,G207&gt;0),C208*$B$18,"")</f>
        <v>1062.46474365736</v>
      </c>
      <c r="F208" s="26" t="n">
        <f aca="false">IF(AND(179&lt;=$B$11*12,G207&gt;0),D208-E208,"")</f>
        <v>1633.25106459665</v>
      </c>
      <c r="G208" s="26" t="n">
        <f aca="false">IF(AND(179&lt;=$B$11*12,G207&gt;0),MAX(C208-F208,0),"")</f>
        <v>256512.726546677</v>
      </c>
    </row>
    <row r="209" customFormat="false" ht="15" hidden="false" customHeight="false" outlineLevel="0" collapsed="false">
      <c r="A209" s="27" t="n">
        <f aca="false">IF(180&lt;=$B$11*12,180,"")</f>
        <v>180</v>
      </c>
      <c r="B209" s="28" t="n">
        <f aca="true">IF(180&lt;=$B$11*12,DATE(YEAR(TODAY()),MONTH(TODAY())+180,1),"")</f>
        <v>51592</v>
      </c>
      <c r="C209" s="29" t="n">
        <f aca="false">IF(180&lt;=$B$11*12,G208,"")</f>
        <v>256512.726546677</v>
      </c>
      <c r="D209" s="29" t="n">
        <f aca="false">IF(AND(180&lt;=$B$11*12,G208&gt;0),MIN($B$22,C209*(1+$B$18)),"")</f>
        <v>2695.71580825401</v>
      </c>
      <c r="E209" s="29" t="n">
        <f aca="false">IF(AND(180&lt;=$B$11*12,G208&gt;0),C209*$B$18,"")</f>
        <v>1055.74268782782</v>
      </c>
      <c r="F209" s="29" t="n">
        <f aca="false">IF(AND(180&lt;=$B$11*12,G208&gt;0),D209-E209,"")</f>
        <v>1639.97312042619</v>
      </c>
      <c r="G209" s="29" t="n">
        <f aca="false">IF(AND(180&lt;=$B$11*12,G208&gt;0),MAX(C209-F209,0),"")</f>
        <v>254872.75342625</v>
      </c>
    </row>
    <row r="210" customFormat="false" ht="15" hidden="false" customHeight="false" outlineLevel="0" collapsed="false">
      <c r="A210" s="24" t="n">
        <f aca="false">IF(181&lt;=$B$11*12,181,"")</f>
        <v>181</v>
      </c>
      <c r="B210" s="25" t="n">
        <f aca="true">IF(181&lt;=$B$11*12,DATE(YEAR(TODAY()),MONTH(TODAY())+181,1),"")</f>
        <v>51622</v>
      </c>
      <c r="C210" s="26" t="n">
        <f aca="false">IF(181&lt;=$B$11*12,G209,"")</f>
        <v>254872.75342625</v>
      </c>
      <c r="D210" s="26" t="n">
        <f aca="false">IF(AND(181&lt;=$B$11*12,G209&gt;0),MIN($B$22,C210*(1+$B$18)),"")</f>
        <v>2695.71580825401</v>
      </c>
      <c r="E210" s="26" t="n">
        <f aca="false">IF(AND(181&lt;=$B$11*12,G209&gt;0),C210*$B$18,"")</f>
        <v>1048.99296568563</v>
      </c>
      <c r="F210" s="26" t="n">
        <f aca="false">IF(AND(181&lt;=$B$11*12,G209&gt;0),D210-E210,"")</f>
        <v>1646.72284256838</v>
      </c>
      <c r="G210" s="26" t="n">
        <f aca="false">IF(AND(181&lt;=$B$11*12,G209&gt;0),MAX(C210-F210,0),"")</f>
        <v>253226.030583682</v>
      </c>
    </row>
    <row r="211" customFormat="false" ht="15" hidden="false" customHeight="false" outlineLevel="0" collapsed="false">
      <c r="A211" s="27" t="n">
        <f aca="false">IF(182&lt;=$B$11*12,182,"")</f>
        <v>182</v>
      </c>
      <c r="B211" s="28" t="n">
        <f aca="true">IF(182&lt;=$B$11*12,DATE(YEAR(TODAY()),MONTH(TODAY())+182,1),"")</f>
        <v>51653</v>
      </c>
      <c r="C211" s="29" t="n">
        <f aca="false">IF(182&lt;=$B$11*12,G210,"")</f>
        <v>253226.030583682</v>
      </c>
      <c r="D211" s="29" t="n">
        <f aca="false">IF(AND(182&lt;=$B$11*12,G210&gt;0),MIN($B$22,C211*(1+$B$18)),"")</f>
        <v>2695.71580825401</v>
      </c>
      <c r="E211" s="29" t="n">
        <f aca="false">IF(AND(182&lt;=$B$11*12,G210&gt;0),C211*$B$18,"")</f>
        <v>1042.21546336313</v>
      </c>
      <c r="F211" s="29" t="n">
        <f aca="false">IF(AND(182&lt;=$B$11*12,G210&gt;0),D211-E211,"")</f>
        <v>1653.50034489088</v>
      </c>
      <c r="G211" s="29" t="n">
        <f aca="false">IF(AND(182&lt;=$B$11*12,G210&gt;0),MAX(C211-F211,0),"")</f>
        <v>251572.530238791</v>
      </c>
    </row>
    <row r="212" customFormat="false" ht="15" hidden="false" customHeight="false" outlineLevel="0" collapsed="false">
      <c r="A212" s="24" t="n">
        <f aca="false">IF(183&lt;=$B$11*12,183,"")</f>
        <v>183</v>
      </c>
      <c r="B212" s="25" t="n">
        <f aca="true">IF(183&lt;=$B$11*12,DATE(YEAR(TODAY()),MONTH(TODAY())+183,1),"")</f>
        <v>51683</v>
      </c>
      <c r="C212" s="26" t="n">
        <f aca="false">IF(183&lt;=$B$11*12,G211,"")</f>
        <v>251572.530238791</v>
      </c>
      <c r="D212" s="26" t="n">
        <f aca="false">IF(AND(183&lt;=$B$11*12,G211&gt;0),MIN($B$22,C212*(1+$B$18)),"")</f>
        <v>2695.71580825401</v>
      </c>
      <c r="E212" s="26" t="n">
        <f aca="false">IF(AND(183&lt;=$B$11*12,G211&gt;0),C212*$B$18,"")</f>
        <v>1035.41006652399</v>
      </c>
      <c r="F212" s="26" t="n">
        <f aca="false">IF(AND(183&lt;=$B$11*12,G211&gt;0),D212-E212,"")</f>
        <v>1660.30574173001</v>
      </c>
      <c r="G212" s="26" t="n">
        <f aca="false">IF(AND(183&lt;=$B$11*12,G211&gt;0),MAX(C212-F212,0),"")</f>
        <v>249912.224497061</v>
      </c>
    </row>
    <row r="213" customFormat="false" ht="15" hidden="false" customHeight="false" outlineLevel="0" collapsed="false">
      <c r="A213" s="27" t="n">
        <f aca="false">IF(184&lt;=$B$11*12,184,"")</f>
        <v>184</v>
      </c>
      <c r="B213" s="28" t="n">
        <f aca="true">IF(184&lt;=$B$11*12,DATE(YEAR(TODAY()),MONTH(TODAY())+184,1),"")</f>
        <v>51714</v>
      </c>
      <c r="C213" s="29" t="n">
        <f aca="false">IF(184&lt;=$B$11*12,G212,"")</f>
        <v>249912.224497061</v>
      </c>
      <c r="D213" s="29" t="n">
        <f aca="false">IF(AND(184&lt;=$B$11*12,G212&gt;0),MIN($B$22,C213*(1+$B$18)),"")</f>
        <v>2695.71580825401</v>
      </c>
      <c r="E213" s="29" t="n">
        <f aca="false">IF(AND(184&lt;=$B$11*12,G212&gt;0),C213*$B$18,"")</f>
        <v>1028.57666036131</v>
      </c>
      <c r="F213" s="29" t="n">
        <f aca="false">IF(AND(184&lt;=$B$11*12,G212&gt;0),D213-E213,"")</f>
        <v>1667.13914789269</v>
      </c>
      <c r="G213" s="29" t="n">
        <f aca="false">IF(AND(184&lt;=$B$11*12,G212&gt;0),MAX(C213-F213,0),"")</f>
        <v>248245.085349168</v>
      </c>
    </row>
    <row r="214" customFormat="false" ht="15" hidden="false" customHeight="false" outlineLevel="0" collapsed="false">
      <c r="A214" s="24" t="n">
        <f aca="false">IF(185&lt;=$B$11*12,185,"")</f>
        <v>185</v>
      </c>
      <c r="B214" s="25" t="n">
        <f aca="true">IF(185&lt;=$B$11*12,DATE(YEAR(TODAY()),MONTH(TODAY())+185,1),"")</f>
        <v>51745</v>
      </c>
      <c r="C214" s="26" t="n">
        <f aca="false">IF(185&lt;=$B$11*12,G213,"")</f>
        <v>248245.085349168</v>
      </c>
      <c r="D214" s="26" t="n">
        <f aca="false">IF(AND(185&lt;=$B$11*12,G213&gt;0),MIN($B$22,C214*(1+$B$18)),"")</f>
        <v>2695.71580825401</v>
      </c>
      <c r="E214" s="26" t="n">
        <f aca="false">IF(AND(185&lt;=$B$11*12,G213&gt;0),C214*$B$18,"")</f>
        <v>1021.71512959567</v>
      </c>
      <c r="F214" s="26" t="n">
        <f aca="false">IF(AND(185&lt;=$B$11*12,G213&gt;0),D214-E214,"")</f>
        <v>1674.00067865834</v>
      </c>
      <c r="G214" s="26" t="n">
        <f aca="false">IF(AND(185&lt;=$B$11*12,G213&gt;0),MAX(C214-F214,0),"")</f>
        <v>246571.08467051</v>
      </c>
    </row>
    <row r="215" customFormat="false" ht="15" hidden="false" customHeight="false" outlineLevel="0" collapsed="false">
      <c r="A215" s="27" t="n">
        <f aca="false">IF(186&lt;=$B$11*12,186,"")</f>
        <v>186</v>
      </c>
      <c r="B215" s="28" t="n">
        <f aca="true">IF(186&lt;=$B$11*12,DATE(YEAR(TODAY()),MONTH(TODAY())+186,1),"")</f>
        <v>51775</v>
      </c>
      <c r="C215" s="29" t="n">
        <f aca="false">IF(186&lt;=$B$11*12,G214,"")</f>
        <v>246571.08467051</v>
      </c>
      <c r="D215" s="29" t="n">
        <f aca="false">IF(AND(186&lt;=$B$11*12,G214&gt;0),MIN($B$22,C215*(1+$B$18)),"")</f>
        <v>2695.71580825401</v>
      </c>
      <c r="E215" s="29" t="n">
        <f aca="false">IF(AND(186&lt;=$B$11*12,G214&gt;0),C215*$B$18,"")</f>
        <v>1014.82535847318</v>
      </c>
      <c r="F215" s="29" t="n">
        <f aca="false">IF(AND(186&lt;=$B$11*12,G214&gt;0),D215-E215,"")</f>
        <v>1680.89044978083</v>
      </c>
      <c r="G215" s="29" t="n">
        <f aca="false">IF(AND(186&lt;=$B$11*12,G214&gt;0),MAX(C215-F215,0),"")</f>
        <v>244890.194220729</v>
      </c>
    </row>
    <row r="216" customFormat="false" ht="15" hidden="false" customHeight="false" outlineLevel="0" collapsed="false">
      <c r="A216" s="24" t="n">
        <f aca="false">IF(187&lt;=$B$11*12,187,"")</f>
        <v>187</v>
      </c>
      <c r="B216" s="25" t="n">
        <f aca="true">IF(187&lt;=$B$11*12,DATE(YEAR(TODAY()),MONTH(TODAY())+187,1),"")</f>
        <v>51806</v>
      </c>
      <c r="C216" s="26" t="n">
        <f aca="false">IF(187&lt;=$B$11*12,G215,"")</f>
        <v>244890.194220729</v>
      </c>
      <c r="D216" s="26" t="n">
        <f aca="false">IF(AND(187&lt;=$B$11*12,G215&gt;0),MIN($B$22,C216*(1+$B$18)),"")</f>
        <v>2695.71580825401</v>
      </c>
      <c r="E216" s="26" t="n">
        <f aca="false">IF(AND(187&lt;=$B$11*12,G215&gt;0),C216*$B$18,"")</f>
        <v>1007.90723076355</v>
      </c>
      <c r="F216" s="26" t="n">
        <f aca="false">IF(AND(187&lt;=$B$11*12,G215&gt;0),D216-E216,"")</f>
        <v>1687.80857749046</v>
      </c>
      <c r="G216" s="26" t="n">
        <f aca="false">IF(AND(187&lt;=$B$11*12,G215&gt;0),MAX(C216-F216,0),"")</f>
        <v>243202.385643239</v>
      </c>
    </row>
    <row r="217" customFormat="false" ht="15" hidden="false" customHeight="false" outlineLevel="0" collapsed="false">
      <c r="A217" s="27" t="n">
        <f aca="false">IF(188&lt;=$B$11*12,188,"")</f>
        <v>188</v>
      </c>
      <c r="B217" s="28" t="n">
        <f aca="true">IF(188&lt;=$B$11*12,DATE(YEAR(TODAY()),MONTH(TODAY())+188,1),"")</f>
        <v>51836</v>
      </c>
      <c r="C217" s="29" t="n">
        <f aca="false">IF(188&lt;=$B$11*12,G216,"")</f>
        <v>243202.385643239</v>
      </c>
      <c r="D217" s="29" t="n">
        <f aca="false">IF(AND(188&lt;=$B$11*12,G216&gt;0),MIN($B$22,C217*(1+$B$18)),"")</f>
        <v>2695.71580825401</v>
      </c>
      <c r="E217" s="29" t="n">
        <f aca="false">IF(AND(188&lt;=$B$11*12,G216&gt;0),C217*$B$18,"")</f>
        <v>1000.9606297581</v>
      </c>
      <c r="F217" s="29" t="n">
        <f aca="false">IF(AND(188&lt;=$B$11*12,G216&gt;0),D217-E217,"")</f>
        <v>1694.7551784959</v>
      </c>
      <c r="G217" s="29" t="n">
        <f aca="false">IF(AND(188&lt;=$B$11*12,G216&gt;0),MAX(C217-F217,0),"")</f>
        <v>241507.630464743</v>
      </c>
    </row>
    <row r="218" customFormat="false" ht="15" hidden="false" customHeight="false" outlineLevel="0" collapsed="false">
      <c r="A218" s="24" t="n">
        <f aca="false">IF(189&lt;=$B$11*12,189,"")</f>
        <v>189</v>
      </c>
      <c r="B218" s="25" t="n">
        <f aca="true">IF(189&lt;=$B$11*12,DATE(YEAR(TODAY()),MONTH(TODAY())+189,1),"")</f>
        <v>51867</v>
      </c>
      <c r="C218" s="26" t="n">
        <f aca="false">IF(189&lt;=$B$11*12,G217,"")</f>
        <v>241507.630464743</v>
      </c>
      <c r="D218" s="26" t="n">
        <f aca="false">IF(AND(189&lt;=$B$11*12,G217&gt;0),MIN($B$22,C218*(1+$B$18)),"")</f>
        <v>2695.71580825401</v>
      </c>
      <c r="E218" s="26" t="n">
        <f aca="false">IF(AND(189&lt;=$B$11*12,G217&gt;0),C218*$B$18,"")</f>
        <v>993.98543826783</v>
      </c>
      <c r="F218" s="26" t="n">
        <f aca="false">IF(AND(189&lt;=$B$11*12,G217&gt;0),D218-E218,"")</f>
        <v>1701.73036998618</v>
      </c>
      <c r="G218" s="26" t="n">
        <f aca="false">IF(AND(189&lt;=$B$11*12,G217&gt;0),MAX(C218-F218,0),"")</f>
        <v>239805.900094757</v>
      </c>
    </row>
    <row r="219" customFormat="false" ht="15" hidden="false" customHeight="false" outlineLevel="0" collapsed="false">
      <c r="A219" s="27" t="n">
        <f aca="false">IF(190&lt;=$B$11*12,190,"")</f>
        <v>190</v>
      </c>
      <c r="B219" s="28" t="n">
        <f aca="true">IF(190&lt;=$B$11*12,DATE(YEAR(TODAY()),MONTH(TODAY())+190,1),"")</f>
        <v>51898</v>
      </c>
      <c r="C219" s="29" t="n">
        <f aca="false">IF(190&lt;=$B$11*12,G218,"")</f>
        <v>239805.900094757</v>
      </c>
      <c r="D219" s="29" t="n">
        <f aca="false">IF(AND(190&lt;=$B$11*12,G218&gt;0),MIN($B$22,C219*(1+$B$18)),"")</f>
        <v>2695.71580825401</v>
      </c>
      <c r="E219" s="29" t="n">
        <f aca="false">IF(AND(190&lt;=$B$11*12,G218&gt;0),C219*$B$18,"")</f>
        <v>986.981538621391</v>
      </c>
      <c r="F219" s="29" t="n">
        <f aca="false">IF(AND(190&lt;=$B$11*12,G218&gt;0),D219-E219,"")</f>
        <v>1708.73426963262</v>
      </c>
      <c r="G219" s="29" t="n">
        <f aca="false">IF(AND(190&lt;=$B$11*12,G218&gt;0),MAX(C219-F219,0),"")</f>
        <v>238097.165825124</v>
      </c>
    </row>
    <row r="220" customFormat="false" ht="15" hidden="false" customHeight="false" outlineLevel="0" collapsed="false">
      <c r="A220" s="24" t="n">
        <f aca="false">IF(191&lt;=$B$11*12,191,"")</f>
        <v>191</v>
      </c>
      <c r="B220" s="25" t="n">
        <f aca="true">IF(191&lt;=$B$11*12,DATE(YEAR(TODAY()),MONTH(TODAY())+191,1),"")</f>
        <v>51926</v>
      </c>
      <c r="C220" s="26" t="n">
        <f aca="false">IF(191&lt;=$B$11*12,G219,"")</f>
        <v>238097.165825124</v>
      </c>
      <c r="D220" s="26" t="n">
        <f aca="false">IF(AND(191&lt;=$B$11*12,G219&gt;0),MIN($B$22,C220*(1+$B$18)),"")</f>
        <v>2695.71580825401</v>
      </c>
      <c r="E220" s="26" t="n">
        <f aca="false">IF(AND(191&lt;=$B$11*12,G219&gt;0),C220*$B$18,"")</f>
        <v>979.948812663145</v>
      </c>
      <c r="F220" s="26" t="n">
        <f aca="false">IF(AND(191&lt;=$B$11*12,G219&gt;0),D220-E220,"")</f>
        <v>1715.76699559086</v>
      </c>
      <c r="G220" s="26" t="n">
        <f aca="false">IF(AND(191&lt;=$B$11*12,G219&gt;0),MAX(C220-F220,0),"")</f>
        <v>236381.398829533</v>
      </c>
    </row>
    <row r="221" customFormat="false" ht="15" hidden="false" customHeight="false" outlineLevel="0" collapsed="false">
      <c r="A221" s="27" t="n">
        <f aca="false">IF(192&lt;=$B$11*12,192,"")</f>
        <v>192</v>
      </c>
      <c r="B221" s="28" t="n">
        <f aca="true">IF(192&lt;=$B$11*12,DATE(YEAR(TODAY()),MONTH(TODAY())+192,1),"")</f>
        <v>51957</v>
      </c>
      <c r="C221" s="29" t="n">
        <f aca="false">IF(192&lt;=$B$11*12,G220,"")</f>
        <v>236381.398829533</v>
      </c>
      <c r="D221" s="29" t="n">
        <f aca="false">IF(AND(192&lt;=$B$11*12,G220&gt;0),MIN($B$22,C221*(1+$B$18)),"")</f>
        <v>2695.71580825401</v>
      </c>
      <c r="E221" s="29" t="n">
        <f aca="false">IF(AND(192&lt;=$B$11*12,G220&gt;0),C221*$B$18,"")</f>
        <v>972.887141751149</v>
      </c>
      <c r="F221" s="29" t="n">
        <f aca="false">IF(AND(192&lt;=$B$11*12,G220&gt;0),D221-E221,"")</f>
        <v>1722.82866650286</v>
      </c>
      <c r="G221" s="29" t="n">
        <f aca="false">IF(AND(192&lt;=$B$11*12,G220&gt;0),MAX(C221-F221,0),"")</f>
        <v>234658.57016303</v>
      </c>
    </row>
    <row r="222" customFormat="false" ht="15" hidden="false" customHeight="false" outlineLevel="0" collapsed="false">
      <c r="A222" s="24" t="n">
        <f aca="false">IF(193&lt;=$B$11*12,193,"")</f>
        <v>193</v>
      </c>
      <c r="B222" s="25" t="n">
        <f aca="true">IF(193&lt;=$B$11*12,DATE(YEAR(TODAY()),MONTH(TODAY())+193,1),"")</f>
        <v>51987</v>
      </c>
      <c r="C222" s="26" t="n">
        <f aca="false">IF(193&lt;=$B$11*12,G221,"")</f>
        <v>234658.57016303</v>
      </c>
      <c r="D222" s="26" t="n">
        <f aca="false">IF(AND(193&lt;=$B$11*12,G221&gt;0),MIN($B$22,C222*(1+$B$18)),"")</f>
        <v>2695.71580825401</v>
      </c>
      <c r="E222" s="26" t="n">
        <f aca="false">IF(AND(193&lt;=$B$11*12,G221&gt;0),C222*$B$18,"")</f>
        <v>965.796406755162</v>
      </c>
      <c r="F222" s="26" t="n">
        <f aca="false">IF(AND(193&lt;=$B$11*12,G221&gt;0),D222-E222,"")</f>
        <v>1729.91940149885</v>
      </c>
      <c r="G222" s="26" t="n">
        <f aca="false">IF(AND(193&lt;=$B$11*12,G221&gt;0),MAX(C222-F222,0),"")</f>
        <v>232928.650761532</v>
      </c>
    </row>
    <row r="223" customFormat="false" ht="15" hidden="false" customHeight="false" outlineLevel="0" collapsed="false">
      <c r="A223" s="27" t="n">
        <f aca="false">IF(194&lt;=$B$11*12,194,"")</f>
        <v>194</v>
      </c>
      <c r="B223" s="28" t="n">
        <f aca="true">IF(194&lt;=$B$11*12,DATE(YEAR(TODAY()),MONTH(TODAY())+194,1),"")</f>
        <v>52018</v>
      </c>
      <c r="C223" s="29" t="n">
        <f aca="false">IF(194&lt;=$B$11*12,G222,"")</f>
        <v>232928.650761532</v>
      </c>
      <c r="D223" s="29" t="n">
        <f aca="false">IF(AND(194&lt;=$B$11*12,G222&gt;0),MIN($B$22,C223*(1+$B$18)),"")</f>
        <v>2695.71580825401</v>
      </c>
      <c r="E223" s="29" t="n">
        <f aca="false">IF(AND(194&lt;=$B$11*12,G222&gt;0),C223*$B$18,"")</f>
        <v>958.676488054631</v>
      </c>
      <c r="F223" s="29" t="n">
        <f aca="false">IF(AND(194&lt;=$B$11*12,G222&gt;0),D223-E223,"")</f>
        <v>1737.03932019938</v>
      </c>
      <c r="G223" s="29" t="n">
        <f aca="false">IF(AND(194&lt;=$B$11*12,G222&gt;0),MAX(C223-F223,0),"")</f>
        <v>231191.611441332</v>
      </c>
    </row>
    <row r="224" customFormat="false" ht="15" hidden="false" customHeight="false" outlineLevel="0" collapsed="false">
      <c r="A224" s="24" t="n">
        <f aca="false">IF(195&lt;=$B$11*12,195,"")</f>
        <v>195</v>
      </c>
      <c r="B224" s="25" t="n">
        <f aca="true">IF(195&lt;=$B$11*12,DATE(YEAR(TODAY()),MONTH(TODAY())+195,1),"")</f>
        <v>52048</v>
      </c>
      <c r="C224" s="26" t="n">
        <f aca="false">IF(195&lt;=$B$11*12,G223,"")</f>
        <v>231191.611441332</v>
      </c>
      <c r="D224" s="26" t="n">
        <f aca="false">IF(AND(195&lt;=$B$11*12,G223&gt;0),MIN($B$22,C224*(1+$B$18)),"")</f>
        <v>2695.71580825401</v>
      </c>
      <c r="E224" s="26" t="n">
        <f aca="false">IF(AND(195&lt;=$B$11*12,G223&gt;0),C224*$B$18,"")</f>
        <v>951.527265536675</v>
      </c>
      <c r="F224" s="26" t="n">
        <f aca="false">IF(AND(195&lt;=$B$11*12,G223&gt;0),D224-E224,"")</f>
        <v>1744.18854271733</v>
      </c>
      <c r="G224" s="26" t="n">
        <f aca="false">IF(AND(195&lt;=$B$11*12,G223&gt;0),MAX(C224-F224,0),"")</f>
        <v>229447.422898615</v>
      </c>
    </row>
    <row r="225" customFormat="false" ht="15" hidden="false" customHeight="false" outlineLevel="0" collapsed="false">
      <c r="A225" s="27" t="n">
        <f aca="false">IF(196&lt;=$B$11*12,196,"")</f>
        <v>196</v>
      </c>
      <c r="B225" s="28" t="n">
        <f aca="true">IF(196&lt;=$B$11*12,DATE(YEAR(TODAY()),MONTH(TODAY())+196,1),"")</f>
        <v>52079</v>
      </c>
      <c r="C225" s="29" t="n">
        <f aca="false">IF(196&lt;=$B$11*12,G224,"")</f>
        <v>229447.422898615</v>
      </c>
      <c r="D225" s="29" t="n">
        <f aca="false">IF(AND(196&lt;=$B$11*12,G224&gt;0),MIN($B$22,C225*(1+$B$18)),"")</f>
        <v>2695.71580825401</v>
      </c>
      <c r="E225" s="29" t="n">
        <f aca="false">IF(AND(196&lt;=$B$11*12,G224&gt;0),C225*$B$18,"")</f>
        <v>944.348618594057</v>
      </c>
      <c r="F225" s="29" t="n">
        <f aca="false">IF(AND(196&lt;=$B$11*12,G224&gt;0),D225-E225,"")</f>
        <v>1751.36718965995</v>
      </c>
      <c r="G225" s="29" t="n">
        <f aca="false">IF(AND(196&lt;=$B$11*12,G224&gt;0),MAX(C225-F225,0),"")</f>
        <v>227696.055708955</v>
      </c>
    </row>
    <row r="226" customFormat="false" ht="15" hidden="false" customHeight="false" outlineLevel="0" collapsed="false">
      <c r="A226" s="24" t="n">
        <f aca="false">IF(197&lt;=$B$11*12,197,"")</f>
        <v>197</v>
      </c>
      <c r="B226" s="25" t="n">
        <f aca="true">IF(197&lt;=$B$11*12,DATE(YEAR(TODAY()),MONTH(TODAY())+197,1),"")</f>
        <v>52110</v>
      </c>
      <c r="C226" s="26" t="n">
        <f aca="false">IF(197&lt;=$B$11*12,G225,"")</f>
        <v>227696.055708955</v>
      </c>
      <c r="D226" s="26" t="n">
        <f aca="false">IF(AND(197&lt;=$B$11*12,G225&gt;0),MIN($B$22,C226*(1+$B$18)),"")</f>
        <v>2695.71580825401</v>
      </c>
      <c r="E226" s="26" t="n">
        <f aca="false">IF(AND(197&lt;=$B$11*12,G225&gt;0),C226*$B$18,"")</f>
        <v>937.140426123152</v>
      </c>
      <c r="F226" s="26" t="n">
        <f aca="false">IF(AND(197&lt;=$B$11*12,G225&gt;0),D226-E226,"")</f>
        <v>1758.57538213086</v>
      </c>
      <c r="G226" s="26" t="n">
        <f aca="false">IF(AND(197&lt;=$B$11*12,G225&gt;0),MAX(C226-F226,0),"")</f>
        <v>225937.480326824</v>
      </c>
    </row>
    <row r="227" customFormat="false" ht="15" hidden="false" customHeight="false" outlineLevel="0" collapsed="false">
      <c r="A227" s="27" t="n">
        <f aca="false">IF(198&lt;=$B$11*12,198,"")</f>
        <v>198</v>
      </c>
      <c r="B227" s="28" t="n">
        <f aca="true">IF(198&lt;=$B$11*12,DATE(YEAR(TODAY()),MONTH(TODAY())+198,1),"")</f>
        <v>52140</v>
      </c>
      <c r="C227" s="29" t="n">
        <f aca="false">IF(198&lt;=$B$11*12,G226,"")</f>
        <v>225937.480326824</v>
      </c>
      <c r="D227" s="29" t="n">
        <f aca="false">IF(AND(198&lt;=$B$11*12,G226&gt;0),MIN($B$22,C227*(1+$B$18)),"")</f>
        <v>2695.71580825401</v>
      </c>
      <c r="E227" s="29" t="n">
        <f aca="false">IF(AND(198&lt;=$B$11*12,G226&gt;0),C227*$B$18,"")</f>
        <v>929.902566521902</v>
      </c>
      <c r="F227" s="29" t="n">
        <f aca="false">IF(AND(198&lt;=$B$11*12,G226&gt;0),D227-E227,"")</f>
        <v>1765.81324173211</v>
      </c>
      <c r="G227" s="29" t="n">
        <f aca="false">IF(AND(198&lt;=$B$11*12,G226&gt;0),MAX(C227-F227,0),"")</f>
        <v>224171.667085092</v>
      </c>
    </row>
    <row r="228" customFormat="false" ht="15" hidden="false" customHeight="false" outlineLevel="0" collapsed="false">
      <c r="A228" s="24" t="n">
        <f aca="false">IF(199&lt;=$B$11*12,199,"")</f>
        <v>199</v>
      </c>
      <c r="B228" s="25" t="n">
        <f aca="true">IF(199&lt;=$B$11*12,DATE(YEAR(TODAY()),MONTH(TODAY())+199,1),"")</f>
        <v>52171</v>
      </c>
      <c r="C228" s="26" t="n">
        <f aca="false">IF(199&lt;=$B$11*12,G227,"")</f>
        <v>224171.667085092</v>
      </c>
      <c r="D228" s="26" t="n">
        <f aca="false">IF(AND(199&lt;=$B$11*12,G227&gt;0),MIN($B$22,C228*(1+$B$18)),"")</f>
        <v>2695.71580825401</v>
      </c>
      <c r="E228" s="26" t="n">
        <f aca="false">IF(AND(199&lt;=$B$11*12,G227&gt;0),C228*$B$18,"")</f>
        <v>922.634917687765</v>
      </c>
      <c r="F228" s="26" t="n">
        <f aca="false">IF(AND(199&lt;=$B$11*12,G227&gt;0),D228-E228,"")</f>
        <v>1773.08089056624</v>
      </c>
      <c r="G228" s="26" t="n">
        <f aca="false">IF(AND(199&lt;=$B$11*12,G227&gt;0),MAX(C228-F228,0),"")</f>
        <v>222398.586194526</v>
      </c>
    </row>
    <row r="229" customFormat="false" ht="15" hidden="false" customHeight="false" outlineLevel="0" collapsed="false">
      <c r="A229" s="27" t="n">
        <f aca="false">IF(200&lt;=$B$11*12,200,"")</f>
        <v>200</v>
      </c>
      <c r="B229" s="28" t="n">
        <f aca="true">IF(200&lt;=$B$11*12,DATE(YEAR(TODAY()),MONTH(TODAY())+200,1),"")</f>
        <v>52201</v>
      </c>
      <c r="C229" s="29" t="n">
        <f aca="false">IF(200&lt;=$B$11*12,G228,"")</f>
        <v>222398.586194526</v>
      </c>
      <c r="D229" s="29" t="n">
        <f aca="false">IF(AND(200&lt;=$B$11*12,G228&gt;0),MIN($B$22,C229*(1+$B$18)),"")</f>
        <v>2695.71580825401</v>
      </c>
      <c r="E229" s="29" t="n">
        <f aca="false">IF(AND(200&lt;=$B$11*12,G228&gt;0),C229*$B$18,"")</f>
        <v>915.337357015656</v>
      </c>
      <c r="F229" s="29" t="n">
        <f aca="false">IF(AND(200&lt;=$B$11*12,G228&gt;0),D229-E229,"")</f>
        <v>1780.37845123835</v>
      </c>
      <c r="G229" s="29" t="n">
        <f aca="false">IF(AND(200&lt;=$B$11*12,G228&gt;0),MAX(C229-F229,0),"")</f>
        <v>220618.207743287</v>
      </c>
    </row>
    <row r="230" customFormat="false" ht="15" hidden="false" customHeight="false" outlineLevel="0" collapsed="false">
      <c r="A230" s="24" t="n">
        <f aca="false">IF(201&lt;=$B$11*12,201,"")</f>
        <v>201</v>
      </c>
      <c r="B230" s="25" t="n">
        <f aca="true">IF(201&lt;=$B$11*12,DATE(YEAR(TODAY()),MONTH(TODAY())+201,1),"")</f>
        <v>52232</v>
      </c>
      <c r="C230" s="26" t="n">
        <f aca="false">IF(201&lt;=$B$11*12,G229,"")</f>
        <v>220618.207743287</v>
      </c>
      <c r="D230" s="26" t="n">
        <f aca="false">IF(AND(201&lt;=$B$11*12,G229&gt;0),MIN($B$22,C230*(1+$B$18)),"")</f>
        <v>2695.71580825401</v>
      </c>
      <c r="E230" s="26" t="n">
        <f aca="false">IF(AND(201&lt;=$B$11*12,G229&gt;0),C230*$B$18,"")</f>
        <v>908.009761395876</v>
      </c>
      <c r="F230" s="26" t="n">
        <f aca="false">IF(AND(201&lt;=$B$11*12,G229&gt;0),D230-E230,"")</f>
        <v>1787.70604685813</v>
      </c>
      <c r="G230" s="26" t="n">
        <f aca="false">IF(AND(201&lt;=$B$11*12,G229&gt;0),MAX(C230-F230,0),"")</f>
        <v>218830.501696429</v>
      </c>
    </row>
    <row r="231" customFormat="false" ht="15" hidden="false" customHeight="false" outlineLevel="0" collapsed="false">
      <c r="A231" s="27" t="n">
        <f aca="false">IF(202&lt;=$B$11*12,202,"")</f>
        <v>202</v>
      </c>
      <c r="B231" s="28" t="n">
        <f aca="true">IF(202&lt;=$B$11*12,DATE(YEAR(TODAY()),MONTH(TODAY())+202,1),"")</f>
        <v>52263</v>
      </c>
      <c r="C231" s="29" t="n">
        <f aca="false">IF(202&lt;=$B$11*12,G230,"")</f>
        <v>218830.501696429</v>
      </c>
      <c r="D231" s="29" t="n">
        <f aca="false">IF(AND(202&lt;=$B$11*12,G230&gt;0),MIN($B$22,C231*(1+$B$18)),"")</f>
        <v>2695.71580825401</v>
      </c>
      <c r="E231" s="29" t="n">
        <f aca="false">IF(AND(202&lt;=$B$11*12,G230&gt;0),C231*$B$18,"")</f>
        <v>900.65200721204</v>
      </c>
      <c r="F231" s="29" t="n">
        <f aca="false">IF(AND(202&lt;=$B$11*12,G230&gt;0),D231-E231,"")</f>
        <v>1795.06380104197</v>
      </c>
      <c r="G231" s="29" t="n">
        <f aca="false">IF(AND(202&lt;=$B$11*12,G230&gt;0),MAX(C231-F231,0),"")</f>
        <v>217035.437895387</v>
      </c>
    </row>
    <row r="232" customFormat="false" ht="15" hidden="false" customHeight="false" outlineLevel="0" collapsed="false">
      <c r="A232" s="24" t="n">
        <f aca="false">IF(203&lt;=$B$11*12,203,"")</f>
        <v>203</v>
      </c>
      <c r="B232" s="25" t="n">
        <f aca="true">IF(203&lt;=$B$11*12,DATE(YEAR(TODAY()),MONTH(TODAY())+203,1),"")</f>
        <v>52291</v>
      </c>
      <c r="C232" s="26" t="n">
        <f aca="false">IF(203&lt;=$B$11*12,G231,"")</f>
        <v>217035.437895387</v>
      </c>
      <c r="D232" s="26" t="n">
        <f aca="false">IF(AND(203&lt;=$B$11*12,G231&gt;0),MIN($B$22,C232*(1+$B$18)),"")</f>
        <v>2695.71580825401</v>
      </c>
      <c r="E232" s="26" t="n">
        <f aca="false">IF(AND(203&lt;=$B$11*12,G231&gt;0),C232*$B$18,"")</f>
        <v>893.263970338986</v>
      </c>
      <c r="F232" s="26" t="n">
        <f aca="false">IF(AND(203&lt;=$B$11*12,G231&gt;0),D232-E232,"")</f>
        <v>1802.45183791502</v>
      </c>
      <c r="G232" s="26" t="n">
        <f aca="false">IF(AND(203&lt;=$B$11*12,G231&gt;0),MAX(C232-F232,0),"")</f>
        <v>215232.986057472</v>
      </c>
    </row>
    <row r="233" customFormat="false" ht="15" hidden="false" customHeight="false" outlineLevel="0" collapsed="false">
      <c r="A233" s="27" t="n">
        <f aca="false">IF(204&lt;=$B$11*12,204,"")</f>
        <v>204</v>
      </c>
      <c r="B233" s="28" t="n">
        <f aca="true">IF(204&lt;=$B$11*12,DATE(YEAR(TODAY()),MONTH(TODAY())+204,1),"")</f>
        <v>52322</v>
      </c>
      <c r="C233" s="29" t="n">
        <f aca="false">IF(204&lt;=$B$11*12,G232,"")</f>
        <v>215232.986057472</v>
      </c>
      <c r="D233" s="29" t="n">
        <f aca="false">IF(AND(204&lt;=$B$11*12,G232&gt;0),MIN($B$22,C233*(1+$B$18)),"")</f>
        <v>2695.71580825401</v>
      </c>
      <c r="E233" s="29" t="n">
        <f aca="false">IF(AND(204&lt;=$B$11*12,G232&gt;0),C233*$B$18,"")</f>
        <v>885.845526140685</v>
      </c>
      <c r="F233" s="29" t="n">
        <f aca="false">IF(AND(204&lt;=$B$11*12,G232&gt;0),D233-E233,"")</f>
        <v>1809.87028211332</v>
      </c>
      <c r="G233" s="29" t="n">
        <f aca="false">IF(AND(204&lt;=$B$11*12,G232&gt;0),MAX(C233-F233,0),"")</f>
        <v>213423.115775359</v>
      </c>
    </row>
    <row r="234" customFormat="false" ht="15" hidden="false" customHeight="false" outlineLevel="0" collapsed="false">
      <c r="A234" s="24" t="n">
        <f aca="false">IF(205&lt;=$B$11*12,205,"")</f>
        <v>205</v>
      </c>
      <c r="B234" s="25" t="n">
        <f aca="true">IF(205&lt;=$B$11*12,DATE(YEAR(TODAY()),MONTH(TODAY())+205,1),"")</f>
        <v>52352</v>
      </c>
      <c r="C234" s="26" t="n">
        <f aca="false">IF(205&lt;=$B$11*12,G233,"")</f>
        <v>213423.115775359</v>
      </c>
      <c r="D234" s="26" t="n">
        <f aca="false">IF(AND(205&lt;=$B$11*12,G233&gt;0),MIN($B$22,C234*(1+$B$18)),"")</f>
        <v>2695.71580825401</v>
      </c>
      <c r="E234" s="26" t="n">
        <f aca="false">IF(AND(205&lt;=$B$11*12,G233&gt;0),C234*$B$18,"")</f>
        <v>878.396549468136</v>
      </c>
      <c r="F234" s="26" t="n">
        <f aca="false">IF(AND(205&lt;=$B$11*12,G233&gt;0),D234-E234,"")</f>
        <v>1817.31925878587</v>
      </c>
      <c r="G234" s="26" t="n">
        <f aca="false">IF(AND(205&lt;=$B$11*12,G233&gt;0),MAX(C234-F234,0),"")</f>
        <v>211605.796516573</v>
      </c>
    </row>
    <row r="235" customFormat="false" ht="15" hidden="false" customHeight="false" outlineLevel="0" collapsed="false">
      <c r="A235" s="27" t="n">
        <f aca="false">IF(206&lt;=$B$11*12,206,"")</f>
        <v>206</v>
      </c>
      <c r="B235" s="28" t="n">
        <f aca="true">IF(206&lt;=$B$11*12,DATE(YEAR(TODAY()),MONTH(TODAY())+206,1),"")</f>
        <v>52383</v>
      </c>
      <c r="C235" s="29" t="n">
        <f aca="false">IF(206&lt;=$B$11*12,G234,"")</f>
        <v>211605.796516573</v>
      </c>
      <c r="D235" s="29" t="n">
        <f aca="false">IF(AND(206&lt;=$B$11*12,G234&gt;0),MIN($B$22,C235*(1+$B$18)),"")</f>
        <v>2695.71580825401</v>
      </c>
      <c r="E235" s="29" t="n">
        <f aca="false">IF(AND(206&lt;=$B$11*12,G234&gt;0),C235*$B$18,"")</f>
        <v>870.916914657258</v>
      </c>
      <c r="F235" s="29" t="n">
        <f aca="false">IF(AND(206&lt;=$B$11*12,G234&gt;0),D235-E235,"")</f>
        <v>1824.79889359675</v>
      </c>
      <c r="G235" s="29" t="n">
        <f aca="false">IF(AND(206&lt;=$B$11*12,G234&gt;0),MAX(C235-F235,0),"")</f>
        <v>209780.997622976</v>
      </c>
    </row>
    <row r="236" customFormat="false" ht="15" hidden="false" customHeight="false" outlineLevel="0" collapsed="false">
      <c r="A236" s="24" t="n">
        <f aca="false">IF(207&lt;=$B$11*12,207,"")</f>
        <v>207</v>
      </c>
      <c r="B236" s="25" t="n">
        <f aca="true">IF(207&lt;=$B$11*12,DATE(YEAR(TODAY()),MONTH(TODAY())+207,1),"")</f>
        <v>52413</v>
      </c>
      <c r="C236" s="26" t="n">
        <f aca="false">IF(207&lt;=$B$11*12,G235,"")</f>
        <v>209780.997622976</v>
      </c>
      <c r="D236" s="26" t="n">
        <f aca="false">IF(AND(207&lt;=$B$11*12,G235&gt;0),MIN($B$22,C236*(1+$B$18)),"")</f>
        <v>2695.71580825401</v>
      </c>
      <c r="E236" s="26" t="n">
        <f aca="false">IF(AND(207&lt;=$B$11*12,G235&gt;0),C236*$B$18,"")</f>
        <v>863.406495526765</v>
      </c>
      <c r="F236" s="26" t="n">
        <f aca="false">IF(AND(207&lt;=$B$11*12,G235&gt;0),D236-E236,"")</f>
        <v>1832.30931272724</v>
      </c>
      <c r="G236" s="26" t="n">
        <f aca="false">IF(AND(207&lt;=$B$11*12,G235&gt;0),MAX(C236-F236,0),"")</f>
        <v>207948.688310249</v>
      </c>
    </row>
    <row r="237" customFormat="false" ht="15" hidden="false" customHeight="false" outlineLevel="0" collapsed="false">
      <c r="A237" s="27" t="n">
        <f aca="false">IF(208&lt;=$B$11*12,208,"")</f>
        <v>208</v>
      </c>
      <c r="B237" s="28" t="n">
        <f aca="true">IF(208&lt;=$B$11*12,DATE(YEAR(TODAY()),MONTH(TODAY())+208,1),"")</f>
        <v>52444</v>
      </c>
      <c r="C237" s="29" t="n">
        <f aca="false">IF(208&lt;=$B$11*12,G236,"")</f>
        <v>207948.688310249</v>
      </c>
      <c r="D237" s="29" t="n">
        <f aca="false">IF(AND(208&lt;=$B$11*12,G236&gt;0),MIN($B$22,C237*(1+$B$18)),"")</f>
        <v>2695.71580825401</v>
      </c>
      <c r="E237" s="29" t="n">
        <f aca="false">IF(AND(208&lt;=$B$11*12,G236&gt;0),C237*$B$18,"")</f>
        <v>855.865165376042</v>
      </c>
      <c r="F237" s="29" t="n">
        <f aca="false">IF(AND(208&lt;=$B$11*12,G236&gt;0),D237-E237,"")</f>
        <v>1839.85064287797</v>
      </c>
      <c r="G237" s="29" t="n">
        <f aca="false">IF(AND(208&lt;=$B$11*12,G236&gt;0),MAX(C237-F237,0),"")</f>
        <v>206108.837667371</v>
      </c>
    </row>
    <row r="238" customFormat="false" ht="15" hidden="false" customHeight="false" outlineLevel="0" collapsed="false">
      <c r="A238" s="24" t="n">
        <f aca="false">IF(209&lt;=$B$11*12,209,"")</f>
        <v>209</v>
      </c>
      <c r="B238" s="25" t="n">
        <f aca="true">IF(209&lt;=$B$11*12,DATE(YEAR(TODAY()),MONTH(TODAY())+209,1),"")</f>
        <v>52475</v>
      </c>
      <c r="C238" s="26" t="n">
        <f aca="false">IF(209&lt;=$B$11*12,G237,"")</f>
        <v>206108.837667371</v>
      </c>
      <c r="D238" s="26" t="n">
        <f aca="false">IF(AND(209&lt;=$B$11*12,G237&gt;0),MIN($B$22,C238*(1+$B$18)),"")</f>
        <v>2695.71580825401</v>
      </c>
      <c r="E238" s="26" t="n">
        <f aca="false">IF(AND(209&lt;=$B$11*12,G237&gt;0),C238*$B$18,"")</f>
        <v>848.292796983006</v>
      </c>
      <c r="F238" s="26" t="n">
        <f aca="false">IF(AND(209&lt;=$B$11*12,G237&gt;0),D238-E238,"")</f>
        <v>1847.423011271</v>
      </c>
      <c r="G238" s="26" t="n">
        <f aca="false">IF(AND(209&lt;=$B$11*12,G237&gt;0),MAX(C238-F238,0),"")</f>
        <v>204261.4146561</v>
      </c>
    </row>
    <row r="239" customFormat="false" ht="15" hidden="false" customHeight="false" outlineLevel="0" collapsed="false">
      <c r="A239" s="27" t="n">
        <f aca="false">IF(210&lt;=$B$11*12,210,"")</f>
        <v>210</v>
      </c>
      <c r="B239" s="28" t="n">
        <f aca="true">IF(210&lt;=$B$11*12,DATE(YEAR(TODAY()),MONTH(TODAY())+210,1),"")</f>
        <v>52505</v>
      </c>
      <c r="C239" s="29" t="n">
        <f aca="false">IF(210&lt;=$B$11*12,G238,"")</f>
        <v>204261.4146561</v>
      </c>
      <c r="D239" s="29" t="n">
        <f aca="false">IF(AND(210&lt;=$B$11*12,G238&gt;0),MIN($B$22,C239*(1+$B$18)),"")</f>
        <v>2695.71580825401</v>
      </c>
      <c r="E239" s="29" t="n">
        <f aca="false">IF(AND(210&lt;=$B$11*12,G238&gt;0),C239*$B$18,"")</f>
        <v>840.689262601957</v>
      </c>
      <c r="F239" s="29" t="n">
        <f aca="false">IF(AND(210&lt;=$B$11*12,G238&gt;0),D239-E239,"")</f>
        <v>1855.02654565205</v>
      </c>
      <c r="G239" s="29" t="n">
        <f aca="false">IF(AND(210&lt;=$B$11*12,G238&gt;0),MAX(C239-F239,0),"")</f>
        <v>202406.388110448</v>
      </c>
    </row>
    <row r="240" customFormat="false" ht="15" hidden="false" customHeight="false" outlineLevel="0" collapsed="false">
      <c r="A240" s="24" t="n">
        <f aca="false">IF(211&lt;=$B$11*12,211,"")</f>
        <v>211</v>
      </c>
      <c r="B240" s="25" t="n">
        <f aca="true">IF(211&lt;=$B$11*12,DATE(YEAR(TODAY()),MONTH(TODAY())+211,1),"")</f>
        <v>52536</v>
      </c>
      <c r="C240" s="26" t="n">
        <f aca="false">IF(211&lt;=$B$11*12,G239,"")</f>
        <v>202406.388110448</v>
      </c>
      <c r="D240" s="26" t="n">
        <f aca="false">IF(AND(211&lt;=$B$11*12,G239&gt;0),MIN($B$22,C240*(1+$B$18)),"")</f>
        <v>2695.71580825401</v>
      </c>
      <c r="E240" s="26" t="n">
        <f aca="false">IF(AND(211&lt;=$B$11*12,G239&gt;0),C240*$B$18,"")</f>
        <v>833.054433961428</v>
      </c>
      <c r="F240" s="26" t="n">
        <f aca="false">IF(AND(211&lt;=$B$11*12,G239&gt;0),D240-E240,"")</f>
        <v>1862.66137429258</v>
      </c>
      <c r="G240" s="26" t="n">
        <f aca="false">IF(AND(211&lt;=$B$11*12,G239&gt;0),MAX(C240-F240,0),"")</f>
        <v>200543.726736155</v>
      </c>
    </row>
    <row r="241" customFormat="false" ht="15" hidden="false" customHeight="false" outlineLevel="0" collapsed="false">
      <c r="A241" s="27" t="n">
        <f aca="false">IF(212&lt;=$B$11*12,212,"")</f>
        <v>212</v>
      </c>
      <c r="B241" s="28" t="n">
        <f aca="true">IF(212&lt;=$B$11*12,DATE(YEAR(TODAY()),MONTH(TODAY())+212,1),"")</f>
        <v>52566</v>
      </c>
      <c r="C241" s="29" t="n">
        <f aca="false">IF(212&lt;=$B$11*12,G240,"")</f>
        <v>200543.726736155</v>
      </c>
      <c r="D241" s="29" t="n">
        <f aca="false">IF(AND(212&lt;=$B$11*12,G240&gt;0),MIN($B$22,C241*(1+$B$18)),"")</f>
        <v>2695.71580825401</v>
      </c>
      <c r="E241" s="29" t="n">
        <f aca="false">IF(AND(212&lt;=$B$11*12,G240&gt;0),C241*$B$18,"")</f>
        <v>825.388182262019</v>
      </c>
      <c r="F241" s="29" t="n">
        <f aca="false">IF(AND(212&lt;=$B$11*12,G240&gt;0),D241-E241,"")</f>
        <v>1870.32762599199</v>
      </c>
      <c r="G241" s="29" t="n">
        <f aca="false">IF(AND(212&lt;=$B$11*12,G240&gt;0),MAX(C241-F241,0),"")</f>
        <v>198673.399110163</v>
      </c>
    </row>
    <row r="242" customFormat="false" ht="15" hidden="false" customHeight="false" outlineLevel="0" collapsed="false">
      <c r="A242" s="24" t="n">
        <f aca="false">IF(213&lt;=$B$11*12,213,"")</f>
        <v>213</v>
      </c>
      <c r="B242" s="25" t="n">
        <f aca="true">IF(213&lt;=$B$11*12,DATE(YEAR(TODAY()),MONTH(TODAY())+213,1),"")</f>
        <v>52597</v>
      </c>
      <c r="C242" s="26" t="n">
        <f aca="false">IF(213&lt;=$B$11*12,G241,"")</f>
        <v>198673.399110163</v>
      </c>
      <c r="D242" s="26" t="n">
        <f aca="false">IF(AND(213&lt;=$B$11*12,G241&gt;0),MIN($B$22,C242*(1+$B$18)),"")</f>
        <v>2695.71580825401</v>
      </c>
      <c r="E242" s="26" t="n">
        <f aca="false">IF(AND(213&lt;=$B$11*12,G241&gt;0),C242*$B$18,"")</f>
        <v>817.69037817422</v>
      </c>
      <c r="F242" s="26" t="n">
        <f aca="false">IF(AND(213&lt;=$B$11*12,G241&gt;0),D242-E242,"")</f>
        <v>1878.02543007979</v>
      </c>
      <c r="G242" s="26" t="n">
        <f aca="false">IF(AND(213&lt;=$B$11*12,G241&gt;0),MAX(C242-F242,0),"")</f>
        <v>196795.373680084</v>
      </c>
    </row>
    <row r="243" customFormat="false" ht="15" hidden="false" customHeight="false" outlineLevel="0" collapsed="false">
      <c r="A243" s="27" t="n">
        <f aca="false">IF(214&lt;=$B$11*12,214,"")</f>
        <v>214</v>
      </c>
      <c r="B243" s="28" t="n">
        <f aca="true">IF(214&lt;=$B$11*12,DATE(YEAR(TODAY()),MONTH(TODAY())+214,1),"")</f>
        <v>52628</v>
      </c>
      <c r="C243" s="29" t="n">
        <f aca="false">IF(214&lt;=$B$11*12,G242,"")</f>
        <v>196795.373680084</v>
      </c>
      <c r="D243" s="29" t="n">
        <f aca="false">IF(AND(214&lt;=$B$11*12,G242&gt;0),MIN($B$22,C243*(1+$B$18)),"")</f>
        <v>2695.71580825401</v>
      </c>
      <c r="E243" s="29" t="n">
        <f aca="false">IF(AND(214&lt;=$B$11*12,G242&gt;0),C243*$B$18,"")</f>
        <v>809.960891836236</v>
      </c>
      <c r="F243" s="29" t="n">
        <f aca="false">IF(AND(214&lt;=$B$11*12,G242&gt;0),D243-E243,"")</f>
        <v>1885.75491641777</v>
      </c>
      <c r="G243" s="29" t="n">
        <f aca="false">IF(AND(214&lt;=$B$11*12,G242&gt;0),MAX(C243-F243,0),"")</f>
        <v>194909.618763666</v>
      </c>
    </row>
    <row r="244" customFormat="false" ht="15" hidden="false" customHeight="false" outlineLevel="0" collapsed="false">
      <c r="A244" s="24" t="n">
        <f aca="false">IF(215&lt;=$B$11*12,215,"")</f>
        <v>215</v>
      </c>
      <c r="B244" s="25" t="n">
        <f aca="true">IF(215&lt;=$B$11*12,DATE(YEAR(TODAY()),MONTH(TODAY())+215,1),"")</f>
        <v>52657</v>
      </c>
      <c r="C244" s="26" t="n">
        <f aca="false">IF(215&lt;=$B$11*12,G243,"")</f>
        <v>194909.618763666</v>
      </c>
      <c r="D244" s="26" t="n">
        <f aca="false">IF(AND(215&lt;=$B$11*12,G243&gt;0),MIN($B$22,C244*(1+$B$18)),"")</f>
        <v>2695.71580825401</v>
      </c>
      <c r="E244" s="26" t="n">
        <f aca="false">IF(AND(215&lt;=$B$11*12,G243&gt;0),C244*$B$18,"")</f>
        <v>802.199592851794</v>
      </c>
      <c r="F244" s="26" t="n">
        <f aca="false">IF(AND(215&lt;=$B$11*12,G243&gt;0),D244-E244,"")</f>
        <v>1893.51621540221</v>
      </c>
      <c r="G244" s="26" t="n">
        <f aca="false">IF(AND(215&lt;=$B$11*12,G243&gt;0),MAX(C244-F244,0),"")</f>
        <v>193016.102548264</v>
      </c>
    </row>
    <row r="245" customFormat="false" ht="15" hidden="false" customHeight="false" outlineLevel="0" collapsed="false">
      <c r="A245" s="27" t="n">
        <f aca="false">IF(216&lt;=$B$11*12,216,"")</f>
        <v>216</v>
      </c>
      <c r="B245" s="28" t="n">
        <f aca="true">IF(216&lt;=$B$11*12,DATE(YEAR(TODAY()),MONTH(TODAY())+216,1),"")</f>
        <v>52688</v>
      </c>
      <c r="C245" s="29" t="n">
        <f aca="false">IF(216&lt;=$B$11*12,G244,"")</f>
        <v>193016.102548264</v>
      </c>
      <c r="D245" s="29" t="n">
        <f aca="false">IF(AND(216&lt;=$B$11*12,G244&gt;0),MIN($B$22,C245*(1+$B$18)),"")</f>
        <v>2695.71580825401</v>
      </c>
      <c r="E245" s="29" t="n">
        <f aca="false">IF(AND(216&lt;=$B$11*12,G244&gt;0),C245*$B$18,"")</f>
        <v>794.406350287938</v>
      </c>
      <c r="F245" s="29" t="n">
        <f aca="false">IF(AND(216&lt;=$B$11*12,G244&gt;0),D245-E245,"")</f>
        <v>1901.30945796607</v>
      </c>
      <c r="G245" s="29" t="n">
        <f aca="false">IF(AND(216&lt;=$B$11*12,G244&gt;0),MAX(C245-F245,0),"")</f>
        <v>191114.793090298</v>
      </c>
    </row>
    <row r="246" customFormat="false" ht="15" hidden="false" customHeight="false" outlineLevel="0" collapsed="false">
      <c r="A246" s="24" t="n">
        <f aca="false">IF(217&lt;=$B$11*12,217,"")</f>
        <v>217</v>
      </c>
      <c r="B246" s="25" t="n">
        <f aca="true">IF(217&lt;=$B$11*12,DATE(YEAR(TODAY()),MONTH(TODAY())+217,1),"")</f>
        <v>52718</v>
      </c>
      <c r="C246" s="26" t="n">
        <f aca="false">IF(217&lt;=$B$11*12,G245,"")</f>
        <v>191114.793090298</v>
      </c>
      <c r="D246" s="26" t="n">
        <f aca="false">IF(AND(217&lt;=$B$11*12,G245&gt;0),MIN($B$22,C246*(1+$B$18)),"")</f>
        <v>2695.71580825401</v>
      </c>
      <c r="E246" s="26" t="n">
        <f aca="false">IF(AND(217&lt;=$B$11*12,G245&gt;0),C246*$B$18,"")</f>
        <v>786.581032672828</v>
      </c>
      <c r="F246" s="26" t="n">
        <f aca="false">IF(AND(217&lt;=$B$11*12,G245&gt;0),D246-E246,"")</f>
        <v>1909.13477558118</v>
      </c>
      <c r="G246" s="26" t="n">
        <f aca="false">IF(AND(217&lt;=$B$11*12,G245&gt;0),MAX(C246-F246,0),"")</f>
        <v>189205.658314716</v>
      </c>
    </row>
    <row r="247" customFormat="false" ht="15" hidden="false" customHeight="false" outlineLevel="0" collapsed="false">
      <c r="A247" s="27" t="n">
        <f aca="false">IF(218&lt;=$B$11*12,218,"")</f>
        <v>218</v>
      </c>
      <c r="B247" s="28" t="n">
        <f aca="true">IF(218&lt;=$B$11*12,DATE(YEAR(TODAY()),MONTH(TODAY())+218,1),"")</f>
        <v>52749</v>
      </c>
      <c r="C247" s="29" t="n">
        <f aca="false">IF(218&lt;=$B$11*12,G246,"")</f>
        <v>189205.658314716</v>
      </c>
      <c r="D247" s="29" t="n">
        <f aca="false">IF(AND(218&lt;=$B$11*12,G246&gt;0),MIN($B$22,C247*(1+$B$18)),"")</f>
        <v>2695.71580825401</v>
      </c>
      <c r="E247" s="29" t="n">
        <f aca="false">IF(AND(218&lt;=$B$11*12,G246&gt;0),C247*$B$18,"")</f>
        <v>778.723507993518</v>
      </c>
      <c r="F247" s="29" t="n">
        <f aca="false">IF(AND(218&lt;=$B$11*12,G246&gt;0),D247-E247,"")</f>
        <v>1916.99230026049</v>
      </c>
      <c r="G247" s="29" t="n">
        <f aca="false">IF(AND(218&lt;=$B$11*12,G246&gt;0),MAX(C247-F247,0),"")</f>
        <v>187288.666014456</v>
      </c>
    </row>
    <row r="248" customFormat="false" ht="15" hidden="false" customHeight="false" outlineLevel="0" collapsed="false">
      <c r="A248" s="24" t="n">
        <f aca="false">IF(219&lt;=$B$11*12,219,"")</f>
        <v>219</v>
      </c>
      <c r="B248" s="25" t="n">
        <f aca="true">IF(219&lt;=$B$11*12,DATE(YEAR(TODAY()),MONTH(TODAY())+219,1),"")</f>
        <v>52779</v>
      </c>
      <c r="C248" s="26" t="n">
        <f aca="false">IF(219&lt;=$B$11*12,G247,"")</f>
        <v>187288.666014456</v>
      </c>
      <c r="D248" s="26" t="n">
        <f aca="false">IF(AND(219&lt;=$B$11*12,G247&gt;0),MIN($B$22,C248*(1+$B$18)),"")</f>
        <v>2695.71580825401</v>
      </c>
      <c r="E248" s="26" t="n">
        <f aca="false">IF(AND(219&lt;=$B$11*12,G247&gt;0),C248*$B$18,"")</f>
        <v>770.833643693728</v>
      </c>
      <c r="F248" s="26" t="n">
        <f aca="false">IF(AND(219&lt;=$B$11*12,G247&gt;0),D248-E248,"")</f>
        <v>1924.88216456028</v>
      </c>
      <c r="G248" s="26" t="n">
        <f aca="false">IF(AND(219&lt;=$B$11*12,G247&gt;0),MAX(C248-F248,0),"")</f>
        <v>185363.783849896</v>
      </c>
    </row>
    <row r="249" customFormat="false" ht="15" hidden="false" customHeight="false" outlineLevel="0" collapsed="false">
      <c r="A249" s="27" t="n">
        <f aca="false">IF(220&lt;=$B$11*12,220,"")</f>
        <v>220</v>
      </c>
      <c r="B249" s="28" t="n">
        <f aca="true">IF(220&lt;=$B$11*12,DATE(YEAR(TODAY()),MONTH(TODAY())+220,1),"")</f>
        <v>52810</v>
      </c>
      <c r="C249" s="29" t="n">
        <f aca="false">IF(220&lt;=$B$11*12,G248,"")</f>
        <v>185363.783849896</v>
      </c>
      <c r="D249" s="29" t="n">
        <f aca="false">IF(AND(220&lt;=$B$11*12,G248&gt;0),MIN($B$22,C249*(1+$B$18)),"")</f>
        <v>2695.71580825401</v>
      </c>
      <c r="E249" s="29" t="n">
        <f aca="false">IF(AND(220&lt;=$B$11*12,G248&gt;0),C249*$B$18,"")</f>
        <v>762.911306671612</v>
      </c>
      <c r="F249" s="29" t="n">
        <f aca="false">IF(AND(220&lt;=$B$11*12,G248&gt;0),D249-E249,"")</f>
        <v>1932.8045015824</v>
      </c>
      <c r="G249" s="29" t="n">
        <f aca="false">IF(AND(220&lt;=$B$11*12,G248&gt;0),MAX(C249-F249,0),"")</f>
        <v>183430.979348313</v>
      </c>
    </row>
    <row r="250" customFormat="false" ht="15" hidden="false" customHeight="false" outlineLevel="0" collapsed="false">
      <c r="A250" s="24" t="n">
        <f aca="false">IF(221&lt;=$B$11*12,221,"")</f>
        <v>221</v>
      </c>
      <c r="B250" s="25" t="n">
        <f aca="true">IF(221&lt;=$B$11*12,DATE(YEAR(TODAY()),MONTH(TODAY())+221,1),"")</f>
        <v>52841</v>
      </c>
      <c r="C250" s="26" t="n">
        <f aca="false">IF(221&lt;=$B$11*12,G249,"")</f>
        <v>183430.979348313</v>
      </c>
      <c r="D250" s="26" t="n">
        <f aca="false">IF(AND(221&lt;=$B$11*12,G249&gt;0),MIN($B$22,C250*(1+$B$18)),"")</f>
        <v>2695.71580825401</v>
      </c>
      <c r="E250" s="26" t="n">
        <f aca="false">IF(AND(221&lt;=$B$11*12,G249&gt;0),C250*$B$18,"")</f>
        <v>754.956363277507</v>
      </c>
      <c r="F250" s="26" t="n">
        <f aca="false">IF(AND(221&lt;=$B$11*12,G249&gt;0),D250-E250,"")</f>
        <v>1940.7594449765</v>
      </c>
      <c r="G250" s="26" t="n">
        <f aca="false">IF(AND(221&lt;=$B$11*12,G249&gt;0),MAX(C250-F250,0),"")</f>
        <v>181490.219903337</v>
      </c>
    </row>
    <row r="251" customFormat="false" ht="15" hidden="false" customHeight="false" outlineLevel="0" collapsed="false">
      <c r="A251" s="27" t="n">
        <f aca="false">IF(222&lt;=$B$11*12,222,"")</f>
        <v>222</v>
      </c>
      <c r="B251" s="28" t="n">
        <f aca="true">IF(222&lt;=$B$11*12,DATE(YEAR(TODAY()),MONTH(TODAY())+222,1),"")</f>
        <v>52871</v>
      </c>
      <c r="C251" s="29" t="n">
        <f aca="false">IF(222&lt;=$B$11*12,G250,"")</f>
        <v>181490.219903337</v>
      </c>
      <c r="D251" s="29" t="n">
        <f aca="false">IF(AND(222&lt;=$B$11*12,G250&gt;0),MIN($B$22,C251*(1+$B$18)),"")</f>
        <v>2695.71580825401</v>
      </c>
      <c r="E251" s="29" t="n">
        <f aca="false">IF(AND(222&lt;=$B$11*12,G250&gt;0),C251*$B$18,"")</f>
        <v>746.968679311683</v>
      </c>
      <c r="F251" s="29" t="n">
        <f aca="false">IF(AND(222&lt;=$B$11*12,G250&gt;0),D251-E251,"")</f>
        <v>1948.74712894232</v>
      </c>
      <c r="G251" s="29" t="n">
        <f aca="false">IF(AND(222&lt;=$B$11*12,G250&gt;0),MAX(C251-F251,0),"")</f>
        <v>179541.472774394</v>
      </c>
    </row>
    <row r="252" customFormat="false" ht="15" hidden="false" customHeight="false" outlineLevel="0" collapsed="false">
      <c r="A252" s="24" t="n">
        <f aca="false">IF(223&lt;=$B$11*12,223,"")</f>
        <v>223</v>
      </c>
      <c r="B252" s="25" t="n">
        <f aca="true">IF(223&lt;=$B$11*12,DATE(YEAR(TODAY()),MONTH(TODAY())+223,1),"")</f>
        <v>52902</v>
      </c>
      <c r="C252" s="26" t="n">
        <f aca="false">IF(223&lt;=$B$11*12,G251,"")</f>
        <v>179541.472774394</v>
      </c>
      <c r="D252" s="26" t="n">
        <f aca="false">IF(AND(223&lt;=$B$11*12,G251&gt;0),MIN($B$22,C252*(1+$B$18)),"")</f>
        <v>2695.71580825401</v>
      </c>
      <c r="E252" s="26" t="n">
        <f aca="false">IF(AND(223&lt;=$B$11*12,G251&gt;0),C252*$B$18,"")</f>
        <v>738.948120022077</v>
      </c>
      <c r="F252" s="26" t="n">
        <f aca="false">IF(AND(223&lt;=$B$11*12,G251&gt;0),D252-E252,"")</f>
        <v>1956.76768823193</v>
      </c>
      <c r="G252" s="26" t="n">
        <f aca="false">IF(AND(223&lt;=$B$11*12,G251&gt;0),MAX(C252-F252,0),"")</f>
        <v>177584.705086162</v>
      </c>
    </row>
    <row r="253" customFormat="false" ht="15" hidden="false" customHeight="false" outlineLevel="0" collapsed="false">
      <c r="A253" s="27" t="n">
        <f aca="false">IF(224&lt;=$B$11*12,224,"")</f>
        <v>224</v>
      </c>
      <c r="B253" s="28" t="n">
        <f aca="true">IF(224&lt;=$B$11*12,DATE(YEAR(TODAY()),MONTH(TODAY())+224,1),"")</f>
        <v>52932</v>
      </c>
      <c r="C253" s="29" t="n">
        <f aca="false">IF(224&lt;=$B$11*12,G252,"")</f>
        <v>177584.705086162</v>
      </c>
      <c r="D253" s="29" t="n">
        <f aca="false">IF(AND(224&lt;=$B$11*12,G252&gt;0),MIN($B$22,C253*(1+$B$18)),"")</f>
        <v>2695.71580825401</v>
      </c>
      <c r="E253" s="29" t="n">
        <f aca="false">IF(AND(224&lt;=$B$11*12,G252&gt;0),C253*$B$18,"")</f>
        <v>730.894550102018</v>
      </c>
      <c r="F253" s="29" t="n">
        <f aca="false">IF(AND(224&lt;=$B$11*12,G252&gt;0),D253-E253,"")</f>
        <v>1964.82125815199</v>
      </c>
      <c r="G253" s="29" t="n">
        <f aca="false">IF(AND(224&lt;=$B$11*12,G252&gt;0),MAX(C253-F253,0),"")</f>
        <v>175619.88382801</v>
      </c>
    </row>
    <row r="254" customFormat="false" ht="15" hidden="false" customHeight="false" outlineLevel="0" collapsed="false">
      <c r="A254" s="24" t="n">
        <f aca="false">IF(225&lt;=$B$11*12,225,"")</f>
        <v>225</v>
      </c>
      <c r="B254" s="25" t="n">
        <f aca="true">IF(225&lt;=$B$11*12,DATE(YEAR(TODAY()),MONTH(TODAY())+225,1),"")</f>
        <v>52963</v>
      </c>
      <c r="C254" s="26" t="n">
        <f aca="false">IF(225&lt;=$B$11*12,G253,"")</f>
        <v>175619.88382801</v>
      </c>
      <c r="D254" s="26" t="n">
        <f aca="false">IF(AND(225&lt;=$B$11*12,G253&gt;0),MIN($B$22,C254*(1+$B$18)),"")</f>
        <v>2695.71580825401</v>
      </c>
      <c r="E254" s="26" t="n">
        <f aca="false">IF(AND(225&lt;=$B$11*12,G253&gt;0),C254*$B$18,"")</f>
        <v>722.807833687949</v>
      </c>
      <c r="F254" s="26" t="n">
        <f aca="false">IF(AND(225&lt;=$B$11*12,G253&gt;0),D254-E254,"")</f>
        <v>1972.90797456606</v>
      </c>
      <c r="G254" s="26" t="n">
        <f aca="false">IF(AND(225&lt;=$B$11*12,G253&gt;0),MAX(C254-F254,0),"")</f>
        <v>173646.975853444</v>
      </c>
    </row>
    <row r="255" customFormat="false" ht="15" hidden="false" customHeight="false" outlineLevel="0" collapsed="false">
      <c r="A255" s="27" t="n">
        <f aca="false">IF(226&lt;=$B$11*12,226,"")</f>
        <v>226</v>
      </c>
      <c r="B255" s="28" t="n">
        <f aca="true">IF(226&lt;=$B$11*12,DATE(YEAR(TODAY()),MONTH(TODAY())+226,1),"")</f>
        <v>52994</v>
      </c>
      <c r="C255" s="29" t="n">
        <f aca="false">IF(226&lt;=$B$11*12,G254,"")</f>
        <v>173646.975853444</v>
      </c>
      <c r="D255" s="29" t="n">
        <f aca="false">IF(AND(226&lt;=$B$11*12,G254&gt;0),MIN($B$22,C255*(1+$B$18)),"")</f>
        <v>2695.71580825401</v>
      </c>
      <c r="E255" s="29" t="n">
        <f aca="false">IF(AND(226&lt;=$B$11*12,G254&gt;0),C255*$B$18,"")</f>
        <v>714.687834357131</v>
      </c>
      <c r="F255" s="29" t="n">
        <f aca="false">IF(AND(226&lt;=$B$11*12,G254&gt;0),D255-E255,"")</f>
        <v>1981.02797389688</v>
      </c>
      <c r="G255" s="29" t="n">
        <f aca="false">IF(AND(226&lt;=$B$11*12,G254&gt;0),MAX(C255-F255,0),"")</f>
        <v>171665.947879548</v>
      </c>
    </row>
    <row r="256" customFormat="false" ht="15" hidden="false" customHeight="false" outlineLevel="0" collapsed="false">
      <c r="A256" s="24" t="n">
        <f aca="false">IF(227&lt;=$B$11*12,227,"")</f>
        <v>227</v>
      </c>
      <c r="B256" s="25" t="n">
        <f aca="true">IF(227&lt;=$B$11*12,DATE(YEAR(TODAY()),MONTH(TODAY())+227,1),"")</f>
        <v>53022</v>
      </c>
      <c r="C256" s="26" t="n">
        <f aca="false">IF(227&lt;=$B$11*12,G255,"")</f>
        <v>171665.947879548</v>
      </c>
      <c r="D256" s="26" t="n">
        <f aca="false">IF(AND(227&lt;=$B$11*12,G255&gt;0),MIN($B$22,C256*(1+$B$18)),"")</f>
        <v>2695.71580825401</v>
      </c>
      <c r="E256" s="26" t="n">
        <f aca="false">IF(AND(227&lt;=$B$11*12,G255&gt;0),C256*$B$18,"")</f>
        <v>706.534415125343</v>
      </c>
      <c r="F256" s="26" t="n">
        <f aca="false">IF(AND(227&lt;=$B$11*12,G255&gt;0),D256-E256,"")</f>
        <v>1989.18139312867</v>
      </c>
      <c r="G256" s="26" t="n">
        <f aca="false">IF(AND(227&lt;=$B$11*12,G255&gt;0),MAX(C256-F256,0),"")</f>
        <v>169676.766486419</v>
      </c>
    </row>
    <row r="257" customFormat="false" ht="15" hidden="false" customHeight="false" outlineLevel="0" collapsed="false">
      <c r="A257" s="27" t="n">
        <f aca="false">IF(228&lt;=$B$11*12,228,"")</f>
        <v>228</v>
      </c>
      <c r="B257" s="28" t="n">
        <f aca="true">IF(228&lt;=$B$11*12,DATE(YEAR(TODAY()),MONTH(TODAY())+228,1),"")</f>
        <v>53053</v>
      </c>
      <c r="C257" s="29" t="n">
        <f aca="false">IF(228&lt;=$B$11*12,G256,"")</f>
        <v>169676.766486419</v>
      </c>
      <c r="D257" s="29" t="n">
        <f aca="false">IF(AND(228&lt;=$B$11*12,G256&gt;0),MIN($B$22,C257*(1+$B$18)),"")</f>
        <v>2695.71580825401</v>
      </c>
      <c r="E257" s="29" t="n">
        <f aca="false">IF(AND(228&lt;=$B$11*12,G256&gt;0),C257*$B$18,"")</f>
        <v>698.347438444572</v>
      </c>
      <c r="F257" s="29" t="n">
        <f aca="false">IF(AND(228&lt;=$B$11*12,G256&gt;0),D257-E257,"")</f>
        <v>1997.36836980944</v>
      </c>
      <c r="G257" s="29" t="n">
        <f aca="false">IF(AND(228&lt;=$B$11*12,G256&gt;0),MAX(C257-F257,0),"")</f>
        <v>167679.398116609</v>
      </c>
    </row>
    <row r="258" customFormat="false" ht="15" hidden="false" customHeight="false" outlineLevel="0" collapsed="false">
      <c r="A258" s="24" t="n">
        <f aca="false">IF(229&lt;=$B$11*12,229,"")</f>
        <v>229</v>
      </c>
      <c r="B258" s="25" t="n">
        <f aca="true">IF(229&lt;=$B$11*12,DATE(YEAR(TODAY()),MONTH(TODAY())+229,1),"")</f>
        <v>53083</v>
      </c>
      <c r="C258" s="26" t="n">
        <f aca="false">IF(229&lt;=$B$11*12,G257,"")</f>
        <v>167679.398116609</v>
      </c>
      <c r="D258" s="26" t="n">
        <f aca="false">IF(AND(229&lt;=$B$11*12,G257&gt;0),MIN($B$22,C258*(1+$B$18)),"")</f>
        <v>2695.71580825401</v>
      </c>
      <c r="E258" s="26" t="n">
        <f aca="false">IF(AND(229&lt;=$B$11*12,G257&gt;0),C258*$B$18,"")</f>
        <v>690.126766200689</v>
      </c>
      <c r="F258" s="26" t="n">
        <f aca="false">IF(AND(229&lt;=$B$11*12,G257&gt;0),D258-E258,"")</f>
        <v>2005.58904205332</v>
      </c>
      <c r="G258" s="26" t="n">
        <f aca="false">IF(AND(229&lt;=$B$11*12,G257&gt;0),MAX(C258-F258,0),"")</f>
        <v>165673.809074556</v>
      </c>
    </row>
    <row r="259" customFormat="false" ht="15" hidden="false" customHeight="false" outlineLevel="0" collapsed="false">
      <c r="A259" s="27" t="n">
        <f aca="false">IF(230&lt;=$B$11*12,230,"")</f>
        <v>230</v>
      </c>
      <c r="B259" s="28" t="n">
        <f aca="true">IF(230&lt;=$B$11*12,DATE(YEAR(TODAY()),MONTH(TODAY())+230,1),"")</f>
        <v>53114</v>
      </c>
      <c r="C259" s="29" t="n">
        <f aca="false">IF(230&lt;=$B$11*12,G258,"")</f>
        <v>165673.809074556</v>
      </c>
      <c r="D259" s="29" t="n">
        <f aca="false">IF(AND(230&lt;=$B$11*12,G258&gt;0),MIN($B$22,C259*(1+$B$18)),"")</f>
        <v>2695.71580825401</v>
      </c>
      <c r="E259" s="29" t="n">
        <f aca="false">IF(AND(230&lt;=$B$11*12,G258&gt;0),C259*$B$18,"")</f>
        <v>681.872259711125</v>
      </c>
      <c r="F259" s="29" t="n">
        <f aca="false">IF(AND(230&lt;=$B$11*12,G258&gt;0),D259-E259,"")</f>
        <v>2013.84354854288</v>
      </c>
      <c r="G259" s="29" t="n">
        <f aca="false">IF(AND(230&lt;=$B$11*12,G258&gt;0),MAX(C259-F259,0),"")</f>
        <v>163659.965526013</v>
      </c>
    </row>
    <row r="260" customFormat="false" ht="15" hidden="false" customHeight="false" outlineLevel="0" collapsed="false">
      <c r="A260" s="24" t="n">
        <f aca="false">IF(231&lt;=$B$11*12,231,"")</f>
        <v>231</v>
      </c>
      <c r="B260" s="25" t="n">
        <f aca="true">IF(231&lt;=$B$11*12,DATE(YEAR(TODAY()),MONTH(TODAY())+231,1),"")</f>
        <v>53144</v>
      </c>
      <c r="C260" s="26" t="n">
        <f aca="false">IF(231&lt;=$B$11*12,G259,"")</f>
        <v>163659.965526013</v>
      </c>
      <c r="D260" s="26" t="n">
        <f aca="false">IF(AND(231&lt;=$B$11*12,G259&gt;0),MIN($B$22,C260*(1+$B$18)),"")</f>
        <v>2695.71580825401</v>
      </c>
      <c r="E260" s="26" t="n">
        <f aca="false">IF(AND(231&lt;=$B$11*12,G259&gt;0),C260*$B$18,"")</f>
        <v>673.583779722525</v>
      </c>
      <c r="F260" s="26" t="n">
        <f aca="false">IF(AND(231&lt;=$B$11*12,G259&gt;0),D260-E260,"")</f>
        <v>2022.13202853148</v>
      </c>
      <c r="G260" s="26" t="n">
        <f aca="false">IF(AND(231&lt;=$B$11*12,G259&gt;0),MAX(C260-F260,0),"")</f>
        <v>161637.833497482</v>
      </c>
    </row>
    <row r="261" customFormat="false" ht="15" hidden="false" customHeight="false" outlineLevel="0" collapsed="false">
      <c r="A261" s="27" t="n">
        <f aca="false">IF(232&lt;=$B$11*12,232,"")</f>
        <v>232</v>
      </c>
      <c r="B261" s="28" t="n">
        <f aca="true">IF(232&lt;=$B$11*12,DATE(YEAR(TODAY()),MONTH(TODAY())+232,1),"")</f>
        <v>53175</v>
      </c>
      <c r="C261" s="29" t="n">
        <f aca="false">IF(232&lt;=$B$11*12,G260,"")</f>
        <v>161637.833497482</v>
      </c>
      <c r="D261" s="29" t="n">
        <f aca="false">IF(AND(232&lt;=$B$11*12,G260&gt;0),MIN($B$22,C261*(1+$B$18)),"")</f>
        <v>2695.71580825401</v>
      </c>
      <c r="E261" s="29" t="n">
        <f aca="false">IF(AND(232&lt;=$B$11*12,G260&gt;0),C261*$B$18,"")</f>
        <v>665.261186408403</v>
      </c>
      <c r="F261" s="29" t="n">
        <f aca="false">IF(AND(232&lt;=$B$11*12,G260&gt;0),D261-E261,"")</f>
        <v>2030.45462184561</v>
      </c>
      <c r="G261" s="29" t="n">
        <f aca="false">IF(AND(232&lt;=$B$11*12,G260&gt;0),MAX(C261-F261,0),"")</f>
        <v>159607.378875636</v>
      </c>
    </row>
    <row r="262" customFormat="false" ht="15" hidden="false" customHeight="false" outlineLevel="0" collapsed="false">
      <c r="A262" s="24" t="n">
        <f aca="false">IF(233&lt;=$B$11*12,233,"")</f>
        <v>233</v>
      </c>
      <c r="B262" s="25" t="n">
        <f aca="true">IF(233&lt;=$B$11*12,DATE(YEAR(TODAY()),MONTH(TODAY())+233,1),"")</f>
        <v>53206</v>
      </c>
      <c r="C262" s="26" t="n">
        <f aca="false">IF(233&lt;=$B$11*12,G261,"")</f>
        <v>159607.378875636</v>
      </c>
      <c r="D262" s="26" t="n">
        <f aca="false">IF(AND(233&lt;=$B$11*12,G261&gt;0),MIN($B$22,C262*(1+$B$18)),"")</f>
        <v>2695.71580825401</v>
      </c>
      <c r="E262" s="26" t="n">
        <f aca="false">IF(AND(233&lt;=$B$11*12,G261&gt;0),C262*$B$18,"")</f>
        <v>656.904339366782</v>
      </c>
      <c r="F262" s="26" t="n">
        <f aca="false">IF(AND(233&lt;=$B$11*12,G261&gt;0),D262-E262,"")</f>
        <v>2038.81146888723</v>
      </c>
      <c r="G262" s="26" t="n">
        <f aca="false">IF(AND(233&lt;=$B$11*12,G261&gt;0),MAX(C262-F262,0),"")</f>
        <v>157568.567406749</v>
      </c>
    </row>
    <row r="263" customFormat="false" ht="15" hidden="false" customHeight="false" outlineLevel="0" collapsed="false">
      <c r="A263" s="27" t="n">
        <f aca="false">IF(234&lt;=$B$11*12,234,"")</f>
        <v>234</v>
      </c>
      <c r="B263" s="28" t="n">
        <f aca="true">IF(234&lt;=$B$11*12,DATE(YEAR(TODAY()),MONTH(TODAY())+234,1),"")</f>
        <v>53236</v>
      </c>
      <c r="C263" s="29" t="n">
        <f aca="false">IF(234&lt;=$B$11*12,G262,"")</f>
        <v>157568.567406749</v>
      </c>
      <c r="D263" s="29" t="n">
        <f aca="false">IF(AND(234&lt;=$B$11*12,G262&gt;0),MIN($B$22,C263*(1+$B$18)),"")</f>
        <v>2695.71580825401</v>
      </c>
      <c r="E263" s="29" t="n">
        <f aca="false">IF(AND(234&lt;=$B$11*12,G262&gt;0),C263*$B$18,"")</f>
        <v>648.513097617825</v>
      </c>
      <c r="F263" s="29" t="n">
        <f aca="false">IF(AND(234&lt;=$B$11*12,G262&gt;0),D263-E263,"")</f>
        <v>2047.20271063618</v>
      </c>
      <c r="G263" s="29" t="n">
        <f aca="false">IF(AND(234&lt;=$B$11*12,G262&gt;0),MAX(C263-F263,0),"")</f>
        <v>155521.364696113</v>
      </c>
    </row>
    <row r="264" customFormat="false" ht="15" hidden="false" customHeight="false" outlineLevel="0" collapsed="false">
      <c r="A264" s="24" t="n">
        <f aca="false">IF(235&lt;=$B$11*12,235,"")</f>
        <v>235</v>
      </c>
      <c r="B264" s="25" t="n">
        <f aca="true">IF(235&lt;=$B$11*12,DATE(YEAR(TODAY()),MONTH(TODAY())+235,1),"")</f>
        <v>53267</v>
      </c>
      <c r="C264" s="26" t="n">
        <f aca="false">IF(235&lt;=$B$11*12,G263,"")</f>
        <v>155521.364696113</v>
      </c>
      <c r="D264" s="26" t="n">
        <f aca="false">IF(AND(235&lt;=$B$11*12,G263&gt;0),MIN($B$22,C264*(1+$B$18)),"")</f>
        <v>2695.71580825401</v>
      </c>
      <c r="E264" s="26" t="n">
        <f aca="false">IF(AND(235&lt;=$B$11*12,G263&gt;0),C264*$B$18,"")</f>
        <v>640.087319601458</v>
      </c>
      <c r="F264" s="26" t="n">
        <f aca="false">IF(AND(235&lt;=$B$11*12,G263&gt;0),D264-E264,"")</f>
        <v>2055.62848865255</v>
      </c>
      <c r="G264" s="26" t="n">
        <f aca="false">IF(AND(235&lt;=$B$11*12,G263&gt;0),MAX(C264-F264,0),"")</f>
        <v>153465.73620746</v>
      </c>
    </row>
    <row r="265" customFormat="false" ht="15" hidden="false" customHeight="false" outlineLevel="0" collapsed="false">
      <c r="A265" s="27" t="n">
        <f aca="false">IF(236&lt;=$B$11*12,236,"")</f>
        <v>236</v>
      </c>
      <c r="B265" s="28" t="n">
        <f aca="true">IF(236&lt;=$B$11*12,DATE(YEAR(TODAY()),MONTH(TODAY())+236,1),"")</f>
        <v>53297</v>
      </c>
      <c r="C265" s="29" t="n">
        <f aca="false">IF(236&lt;=$B$11*12,G264,"")</f>
        <v>153465.73620746</v>
      </c>
      <c r="D265" s="29" t="n">
        <f aca="false">IF(AND(236&lt;=$B$11*12,G264&gt;0),MIN($B$22,C265*(1+$B$18)),"")</f>
        <v>2695.71580825401</v>
      </c>
      <c r="E265" s="29" t="n">
        <f aca="false">IF(AND(236&lt;=$B$11*12,G264&gt;0),C265*$B$18,"")</f>
        <v>631.626863174979</v>
      </c>
      <c r="F265" s="29" t="n">
        <f aca="false">IF(AND(236&lt;=$B$11*12,G264&gt;0),D265-E265,"")</f>
        <v>2064.08894507903</v>
      </c>
      <c r="G265" s="29" t="n">
        <f aca="false">IF(AND(236&lt;=$B$11*12,G264&gt;0),MAX(C265-F265,0),"")</f>
        <v>151401.647262381</v>
      </c>
    </row>
    <row r="266" customFormat="false" ht="15" hidden="false" customHeight="false" outlineLevel="0" collapsed="false">
      <c r="A266" s="24" t="n">
        <f aca="false">IF(237&lt;=$B$11*12,237,"")</f>
        <v>237</v>
      </c>
      <c r="B266" s="25" t="n">
        <f aca="true">IF(237&lt;=$B$11*12,DATE(YEAR(TODAY()),MONTH(TODAY())+237,1),"")</f>
        <v>53328</v>
      </c>
      <c r="C266" s="26" t="n">
        <f aca="false">IF(237&lt;=$B$11*12,G265,"")</f>
        <v>151401.647262381</v>
      </c>
      <c r="D266" s="26" t="n">
        <f aca="false">IF(AND(237&lt;=$B$11*12,G265&gt;0),MIN($B$22,C266*(1+$B$18)),"")</f>
        <v>2695.71580825401</v>
      </c>
      <c r="E266" s="26" t="n">
        <f aca="false">IF(AND(237&lt;=$B$11*12,G265&gt;0),C266*$B$18,"")</f>
        <v>623.131585610663</v>
      </c>
      <c r="F266" s="26" t="n">
        <f aca="false">IF(AND(237&lt;=$B$11*12,G265&gt;0),D266-E266,"")</f>
        <v>2072.58422264335</v>
      </c>
      <c r="G266" s="26" t="n">
        <f aca="false">IF(AND(237&lt;=$B$11*12,G265&gt;0),MAX(C266-F266,0),"")</f>
        <v>149329.063039738</v>
      </c>
    </row>
    <row r="267" customFormat="false" ht="15" hidden="false" customHeight="false" outlineLevel="0" collapsed="false">
      <c r="A267" s="27" t="n">
        <f aca="false">IF(238&lt;=$B$11*12,238,"")</f>
        <v>238</v>
      </c>
      <c r="B267" s="28" t="n">
        <f aca="true">IF(238&lt;=$B$11*12,DATE(YEAR(TODAY()),MONTH(TODAY())+238,1),"")</f>
        <v>53359</v>
      </c>
      <c r="C267" s="29" t="n">
        <f aca="false">IF(238&lt;=$B$11*12,G266,"")</f>
        <v>149329.063039738</v>
      </c>
      <c r="D267" s="29" t="n">
        <f aca="false">IF(AND(238&lt;=$B$11*12,G266&gt;0),MIN($B$22,C267*(1+$B$18)),"")</f>
        <v>2695.71580825401</v>
      </c>
      <c r="E267" s="29" t="n">
        <f aca="false">IF(AND(238&lt;=$B$11*12,G266&gt;0),C267*$B$18,"")</f>
        <v>614.601343593354</v>
      </c>
      <c r="F267" s="29" t="n">
        <f aca="false">IF(AND(238&lt;=$B$11*12,G266&gt;0),D267-E267,"")</f>
        <v>2081.11446466065</v>
      </c>
      <c r="G267" s="29" t="n">
        <f aca="false">IF(AND(238&lt;=$B$11*12,G266&gt;0),MAX(C267-F267,0),"")</f>
        <v>147247.948575077</v>
      </c>
    </row>
    <row r="268" customFormat="false" ht="15" hidden="false" customHeight="false" outlineLevel="0" collapsed="false">
      <c r="A268" s="24" t="n">
        <f aca="false">IF(239&lt;=$B$11*12,239,"")</f>
        <v>239</v>
      </c>
      <c r="B268" s="25" t="n">
        <f aca="true">IF(239&lt;=$B$11*12,DATE(YEAR(TODAY()),MONTH(TODAY())+239,1),"")</f>
        <v>53387</v>
      </c>
      <c r="C268" s="26" t="n">
        <f aca="false">IF(239&lt;=$B$11*12,G267,"")</f>
        <v>147247.948575077</v>
      </c>
      <c r="D268" s="26" t="n">
        <f aca="false">IF(AND(239&lt;=$B$11*12,G267&gt;0),MIN($B$22,C268*(1+$B$18)),"")</f>
        <v>2695.71580825401</v>
      </c>
      <c r="E268" s="26" t="n">
        <f aca="false">IF(AND(239&lt;=$B$11*12,G267&gt;0),C268*$B$18,"")</f>
        <v>606.035993218045</v>
      </c>
      <c r="F268" s="26" t="n">
        <f aca="false">IF(AND(239&lt;=$B$11*12,G267&gt;0),D268-E268,"")</f>
        <v>2089.67981503596</v>
      </c>
      <c r="G268" s="26" t="n">
        <f aca="false">IF(AND(239&lt;=$B$11*12,G267&gt;0),MAX(C268-F268,0),"")</f>
        <v>145158.268760041</v>
      </c>
    </row>
    <row r="269" customFormat="false" ht="15" hidden="false" customHeight="false" outlineLevel="0" collapsed="false">
      <c r="A269" s="27" t="n">
        <f aca="false">IF(240&lt;=$B$11*12,240,"")</f>
        <v>240</v>
      </c>
      <c r="B269" s="28" t="n">
        <f aca="true">IF(240&lt;=$B$11*12,DATE(YEAR(TODAY()),MONTH(TODAY())+240,1),"")</f>
        <v>53418</v>
      </c>
      <c r="C269" s="29" t="n">
        <f aca="false">IF(240&lt;=$B$11*12,G268,"")</f>
        <v>145158.268760041</v>
      </c>
      <c r="D269" s="29" t="n">
        <f aca="false">IF(AND(240&lt;=$B$11*12,G268&gt;0),MIN($B$22,C269*(1+$B$18)),"")</f>
        <v>2695.71580825401</v>
      </c>
      <c r="E269" s="29" t="n">
        <f aca="false">IF(AND(240&lt;=$B$11*12,G268&gt;0),C269*$B$18,"")</f>
        <v>597.435389987452</v>
      </c>
      <c r="F269" s="29" t="n">
        <f aca="false">IF(AND(240&lt;=$B$11*12,G268&gt;0),D269-E269,"")</f>
        <v>2098.28041826656</v>
      </c>
      <c r="G269" s="29" t="n">
        <f aca="false">IF(AND(240&lt;=$B$11*12,G268&gt;0),MAX(C269-F269,0),"")</f>
        <v>143059.988341775</v>
      </c>
    </row>
    <row r="270" customFormat="false" ht="15" hidden="false" customHeight="false" outlineLevel="0" collapsed="false">
      <c r="A270" s="24" t="n">
        <f aca="false">IF(241&lt;=$B$11*12,241,"")</f>
        <v>241</v>
      </c>
      <c r="B270" s="25" t="n">
        <f aca="true">IF(241&lt;=$B$11*12,DATE(YEAR(TODAY()),MONTH(TODAY())+241,1),"")</f>
        <v>53448</v>
      </c>
      <c r="C270" s="26" t="n">
        <f aca="false">IF(241&lt;=$B$11*12,G269,"")</f>
        <v>143059.988341775</v>
      </c>
      <c r="D270" s="26" t="n">
        <f aca="false">IF(AND(241&lt;=$B$11*12,G269&gt;0),MIN($B$22,C270*(1+$B$18)),"")</f>
        <v>2695.71580825401</v>
      </c>
      <c r="E270" s="26" t="n">
        <f aca="false">IF(AND(241&lt;=$B$11*12,G269&gt;0),C270*$B$18,"")</f>
        <v>588.799388809576</v>
      </c>
      <c r="F270" s="26" t="n">
        <f aca="false">IF(AND(241&lt;=$B$11*12,G269&gt;0),D270-E270,"")</f>
        <v>2106.91641944443</v>
      </c>
      <c r="G270" s="26" t="n">
        <f aca="false">IF(AND(241&lt;=$B$11*12,G269&gt;0),MAX(C270-F270,0),"")</f>
        <v>140953.07192233</v>
      </c>
    </row>
    <row r="271" customFormat="false" ht="15" hidden="false" customHeight="false" outlineLevel="0" collapsed="false">
      <c r="A271" s="27" t="n">
        <f aca="false">IF(242&lt;=$B$11*12,242,"")</f>
        <v>242</v>
      </c>
      <c r="B271" s="28" t="n">
        <f aca="true">IF(242&lt;=$B$11*12,DATE(YEAR(TODAY()),MONTH(TODAY())+242,1),"")</f>
        <v>53479</v>
      </c>
      <c r="C271" s="29" t="n">
        <f aca="false">IF(242&lt;=$B$11*12,G270,"")</f>
        <v>140953.07192233</v>
      </c>
      <c r="D271" s="29" t="n">
        <f aca="false">IF(AND(242&lt;=$B$11*12,G270&gt;0),MIN($B$22,C271*(1+$B$18)),"")</f>
        <v>2695.71580825401</v>
      </c>
      <c r="E271" s="29" t="n">
        <f aca="false">IF(AND(242&lt;=$B$11*12,G270&gt;0),C271*$B$18,"")</f>
        <v>580.127843995256</v>
      </c>
      <c r="F271" s="29" t="n">
        <f aca="false">IF(AND(242&lt;=$B$11*12,G270&gt;0),D271-E271,"")</f>
        <v>2115.58796425875</v>
      </c>
      <c r="G271" s="29" t="n">
        <f aca="false">IF(AND(242&lt;=$B$11*12,G270&gt;0),MAX(C271-F271,0),"")</f>
        <v>138837.483958071</v>
      </c>
    </row>
    <row r="272" customFormat="false" ht="15" hidden="false" customHeight="false" outlineLevel="0" collapsed="false">
      <c r="A272" s="24" t="n">
        <f aca="false">IF(243&lt;=$B$11*12,243,"")</f>
        <v>243</v>
      </c>
      <c r="B272" s="25" t="n">
        <f aca="true">IF(243&lt;=$B$11*12,DATE(YEAR(TODAY()),MONTH(TODAY())+243,1),"")</f>
        <v>53509</v>
      </c>
      <c r="C272" s="26" t="n">
        <f aca="false">IF(243&lt;=$B$11*12,G271,"")</f>
        <v>138837.483958071</v>
      </c>
      <c r="D272" s="26" t="n">
        <f aca="false">IF(AND(243&lt;=$B$11*12,G271&gt;0),MIN($B$22,C272*(1+$B$18)),"")</f>
        <v>2695.71580825401</v>
      </c>
      <c r="E272" s="26" t="n">
        <f aca="false">IF(AND(243&lt;=$B$11*12,G271&gt;0),C272*$B$18,"")</f>
        <v>571.420609255711</v>
      </c>
      <c r="F272" s="26" t="n">
        <f aca="false">IF(AND(243&lt;=$B$11*12,G271&gt;0),D272-E272,"")</f>
        <v>2124.2951989983</v>
      </c>
      <c r="G272" s="26" t="n">
        <f aca="false">IF(AND(243&lt;=$B$11*12,G271&gt;0),MAX(C272-F272,0),"")</f>
        <v>136713.188759073</v>
      </c>
    </row>
    <row r="273" customFormat="false" ht="15" hidden="false" customHeight="false" outlineLevel="0" collapsed="false">
      <c r="A273" s="27" t="n">
        <f aca="false">IF(244&lt;=$B$11*12,244,"")</f>
        <v>244</v>
      </c>
      <c r="B273" s="28" t="n">
        <f aca="true">IF(244&lt;=$B$11*12,DATE(YEAR(TODAY()),MONTH(TODAY())+244,1),"")</f>
        <v>53540</v>
      </c>
      <c r="C273" s="29" t="n">
        <f aca="false">IF(244&lt;=$B$11*12,G272,"")</f>
        <v>136713.188759073</v>
      </c>
      <c r="D273" s="29" t="n">
        <f aca="false">IF(AND(244&lt;=$B$11*12,G272&gt;0),MIN($B$22,C273*(1+$B$18)),"")</f>
        <v>2695.71580825401</v>
      </c>
      <c r="E273" s="29" t="n">
        <f aca="false">IF(AND(244&lt;=$B$11*12,G272&gt;0),C273*$B$18,"")</f>
        <v>562.67753770007</v>
      </c>
      <c r="F273" s="29" t="n">
        <f aca="false">IF(AND(244&lt;=$B$11*12,G272&gt;0),D273-E273,"")</f>
        <v>2133.03827055394</v>
      </c>
      <c r="G273" s="29" t="n">
        <f aca="false">IF(AND(244&lt;=$B$11*12,G272&gt;0),MAX(C273-F273,0),"")</f>
        <v>134580.150488519</v>
      </c>
    </row>
    <row r="274" customFormat="false" ht="15" hidden="false" customHeight="false" outlineLevel="0" collapsed="false">
      <c r="A274" s="24" t="n">
        <f aca="false">IF(245&lt;=$B$11*12,245,"")</f>
        <v>245</v>
      </c>
      <c r="B274" s="25" t="n">
        <f aca="true">IF(245&lt;=$B$11*12,DATE(YEAR(TODAY()),MONTH(TODAY())+245,1),"")</f>
        <v>53571</v>
      </c>
      <c r="C274" s="26" t="n">
        <f aca="false">IF(245&lt;=$B$11*12,G273,"")</f>
        <v>134580.150488519</v>
      </c>
      <c r="D274" s="26" t="n">
        <f aca="false">IF(AND(245&lt;=$B$11*12,G273&gt;0),MIN($B$22,C274*(1+$B$18)),"")</f>
        <v>2695.71580825401</v>
      </c>
      <c r="E274" s="26" t="n">
        <f aca="false">IF(AND(245&lt;=$B$11*12,G273&gt;0),C274*$B$18,"")</f>
        <v>553.898481832897</v>
      </c>
      <c r="F274" s="26" t="n">
        <f aca="false">IF(AND(245&lt;=$B$11*12,G273&gt;0),D274-E274,"")</f>
        <v>2141.81732642111</v>
      </c>
      <c r="G274" s="26" t="n">
        <f aca="false">IF(AND(245&lt;=$B$11*12,G273&gt;0),MAX(C274-F274,0),"")</f>
        <v>132438.333162098</v>
      </c>
    </row>
    <row r="275" customFormat="false" ht="15" hidden="false" customHeight="false" outlineLevel="0" collapsed="false">
      <c r="A275" s="27" t="n">
        <f aca="false">IF(246&lt;=$B$11*12,246,"")</f>
        <v>246</v>
      </c>
      <c r="B275" s="28" t="n">
        <f aca="true">IF(246&lt;=$B$11*12,DATE(YEAR(TODAY()),MONTH(TODAY())+246,1),"")</f>
        <v>53601</v>
      </c>
      <c r="C275" s="29" t="n">
        <f aca="false">IF(246&lt;=$B$11*12,G274,"")</f>
        <v>132438.333162098</v>
      </c>
      <c r="D275" s="29" t="n">
        <f aca="false">IF(AND(246&lt;=$B$11*12,G274&gt;0),MIN($B$22,C275*(1+$B$18)),"")</f>
        <v>2695.71580825401</v>
      </c>
      <c r="E275" s="29" t="n">
        <f aca="false">IF(AND(246&lt;=$B$11*12,G274&gt;0),C275*$B$18,"")</f>
        <v>545.0832935517</v>
      </c>
      <c r="F275" s="29" t="n">
        <f aca="false">IF(AND(246&lt;=$B$11*12,G274&gt;0),D275-E275,"")</f>
        <v>2150.63251470231</v>
      </c>
      <c r="G275" s="29" t="n">
        <f aca="false">IF(AND(246&lt;=$B$11*12,G274&gt;0),MAX(C275-F275,0),"")</f>
        <v>130287.700647396</v>
      </c>
    </row>
    <row r="276" customFormat="false" ht="15" hidden="false" customHeight="false" outlineLevel="0" collapsed="false">
      <c r="A276" s="24" t="n">
        <f aca="false">IF(247&lt;=$B$11*12,247,"")</f>
        <v>247</v>
      </c>
      <c r="B276" s="25" t="n">
        <f aca="true">IF(247&lt;=$B$11*12,DATE(YEAR(TODAY()),MONTH(TODAY())+247,1),"")</f>
        <v>53632</v>
      </c>
      <c r="C276" s="26" t="n">
        <f aca="false">IF(247&lt;=$B$11*12,G275,"")</f>
        <v>130287.700647396</v>
      </c>
      <c r="D276" s="26" t="n">
        <f aca="false">IF(AND(247&lt;=$B$11*12,G275&gt;0),MIN($B$22,C276*(1+$B$18)),"")</f>
        <v>2695.71580825401</v>
      </c>
      <c r="E276" s="26" t="n">
        <f aca="false">IF(AND(247&lt;=$B$11*12,G275&gt;0),C276*$B$18,"")</f>
        <v>536.231824144437</v>
      </c>
      <c r="F276" s="26" t="n">
        <f aca="false">IF(AND(247&lt;=$B$11*12,G275&gt;0),D276-E276,"")</f>
        <v>2159.48398410957</v>
      </c>
      <c r="G276" s="26" t="n">
        <f aca="false">IF(AND(247&lt;=$B$11*12,G275&gt;0),MAX(C276-F276,0),"")</f>
        <v>128128.216663286</v>
      </c>
    </row>
    <row r="277" customFormat="false" ht="15" hidden="false" customHeight="false" outlineLevel="0" collapsed="false">
      <c r="A277" s="27" t="n">
        <f aca="false">IF(248&lt;=$B$11*12,248,"")</f>
        <v>248</v>
      </c>
      <c r="B277" s="28" t="n">
        <f aca="true">IF(248&lt;=$B$11*12,DATE(YEAR(TODAY()),MONTH(TODAY())+248,1),"")</f>
        <v>53662</v>
      </c>
      <c r="C277" s="29" t="n">
        <f aca="false">IF(248&lt;=$B$11*12,G276,"")</f>
        <v>128128.216663286</v>
      </c>
      <c r="D277" s="29" t="n">
        <f aca="false">IF(AND(248&lt;=$B$11*12,G276&gt;0),MIN($B$22,C277*(1+$B$18)),"")</f>
        <v>2695.71580825401</v>
      </c>
      <c r="E277" s="29" t="n">
        <f aca="false">IF(AND(248&lt;=$B$11*12,G276&gt;0),C277*$B$18,"")</f>
        <v>527.343924287</v>
      </c>
      <c r="F277" s="29" t="n">
        <f aca="false">IF(AND(248&lt;=$B$11*12,G276&gt;0),D277-E277,"")</f>
        <v>2168.37188396701</v>
      </c>
      <c r="G277" s="29" t="n">
        <f aca="false">IF(AND(248&lt;=$B$11*12,G276&gt;0),MAX(C277-F277,0),"")</f>
        <v>125959.844779319</v>
      </c>
    </row>
    <row r="278" customFormat="false" ht="15" hidden="false" customHeight="false" outlineLevel="0" collapsed="false">
      <c r="A278" s="24" t="n">
        <f aca="false">IF(249&lt;=$B$11*12,249,"")</f>
        <v>249</v>
      </c>
      <c r="B278" s="25" t="n">
        <f aca="true">IF(249&lt;=$B$11*12,DATE(YEAR(TODAY()),MONTH(TODAY())+249,1),"")</f>
        <v>53693</v>
      </c>
      <c r="C278" s="26" t="n">
        <f aca="false">IF(249&lt;=$B$11*12,G277,"")</f>
        <v>125959.844779319</v>
      </c>
      <c r="D278" s="26" t="n">
        <f aca="false">IF(AND(249&lt;=$B$11*12,G277&gt;0),MIN($B$22,C278*(1+$B$18)),"")</f>
        <v>2695.71580825401</v>
      </c>
      <c r="E278" s="26" t="n">
        <f aca="false">IF(AND(249&lt;=$B$11*12,G277&gt;0),C278*$B$18,"")</f>
        <v>518.419444040703</v>
      </c>
      <c r="F278" s="26" t="n">
        <f aca="false">IF(AND(249&lt;=$B$11*12,G277&gt;0),D278-E278,"")</f>
        <v>2177.29636421331</v>
      </c>
      <c r="G278" s="26" t="n">
        <f aca="false">IF(AND(249&lt;=$B$11*12,G277&gt;0),MAX(C278-F278,0),"")</f>
        <v>123782.548415106</v>
      </c>
    </row>
    <row r="279" customFormat="false" ht="15" hidden="false" customHeight="false" outlineLevel="0" collapsed="false">
      <c r="A279" s="27" t="n">
        <f aca="false">IF(250&lt;=$B$11*12,250,"")</f>
        <v>250</v>
      </c>
      <c r="B279" s="28" t="n">
        <f aca="true">IF(250&lt;=$B$11*12,DATE(YEAR(TODAY()),MONTH(TODAY())+250,1),"")</f>
        <v>53724</v>
      </c>
      <c r="C279" s="29" t="n">
        <f aca="false">IF(250&lt;=$B$11*12,G278,"")</f>
        <v>123782.548415106</v>
      </c>
      <c r="D279" s="29" t="n">
        <f aca="false">IF(AND(250&lt;=$B$11*12,G278&gt;0),MIN($B$22,C279*(1+$B$18)),"")</f>
        <v>2695.71580825401</v>
      </c>
      <c r="E279" s="29" t="n">
        <f aca="false">IF(AND(250&lt;=$B$11*12,G278&gt;0),C279*$B$18,"")</f>
        <v>509.458232849748</v>
      </c>
      <c r="F279" s="29" t="n">
        <f aca="false">IF(AND(250&lt;=$B$11*12,G278&gt;0),D279-E279,"")</f>
        <v>2186.25757540426</v>
      </c>
      <c r="G279" s="29" t="n">
        <f aca="false">IF(AND(250&lt;=$B$11*12,G278&gt;0),MAX(C279-F279,0),"")</f>
        <v>121596.290839702</v>
      </c>
    </row>
    <row r="280" customFormat="false" ht="15" hidden="false" customHeight="false" outlineLevel="0" collapsed="false">
      <c r="A280" s="24" t="n">
        <f aca="false">IF(251&lt;=$B$11*12,251,"")</f>
        <v>251</v>
      </c>
      <c r="B280" s="25" t="n">
        <f aca="true">IF(251&lt;=$B$11*12,DATE(YEAR(TODAY()),MONTH(TODAY())+251,1),"")</f>
        <v>53752</v>
      </c>
      <c r="C280" s="26" t="n">
        <f aca="false">IF(251&lt;=$B$11*12,G279,"")</f>
        <v>121596.290839702</v>
      </c>
      <c r="D280" s="26" t="n">
        <f aca="false">IF(AND(251&lt;=$B$11*12,G279&gt;0),MIN($B$22,C280*(1+$B$18)),"")</f>
        <v>2695.71580825401</v>
      </c>
      <c r="E280" s="26" t="n">
        <f aca="false">IF(AND(251&lt;=$B$11*12,G279&gt;0),C280*$B$18,"")</f>
        <v>500.460139538689</v>
      </c>
      <c r="F280" s="26" t="n">
        <f aca="false">IF(AND(251&lt;=$B$11*12,G279&gt;0),D280-E280,"")</f>
        <v>2195.25566871532</v>
      </c>
      <c r="G280" s="26" t="n">
        <f aca="false">IF(AND(251&lt;=$B$11*12,G279&gt;0),MAX(C280-F280,0),"")</f>
        <v>119401.035170986</v>
      </c>
    </row>
    <row r="281" customFormat="false" ht="15" hidden="false" customHeight="false" outlineLevel="0" collapsed="false">
      <c r="A281" s="27" t="n">
        <f aca="false">IF(252&lt;=$B$11*12,252,"")</f>
        <v>252</v>
      </c>
      <c r="B281" s="28" t="n">
        <f aca="true">IF(252&lt;=$B$11*12,DATE(YEAR(TODAY()),MONTH(TODAY())+252,1),"")</f>
        <v>53783</v>
      </c>
      <c r="C281" s="29" t="n">
        <f aca="false">IF(252&lt;=$B$11*12,G280,"")</f>
        <v>119401.035170986</v>
      </c>
      <c r="D281" s="29" t="n">
        <f aca="false">IF(AND(252&lt;=$B$11*12,G280&gt;0),MIN($B$22,C281*(1+$B$18)),"")</f>
        <v>2695.71580825401</v>
      </c>
      <c r="E281" s="29" t="n">
        <f aca="false">IF(AND(252&lt;=$B$11*12,G280&gt;0),C281*$B$18,"")</f>
        <v>491.425012309877</v>
      </c>
      <c r="F281" s="29" t="n">
        <f aca="false">IF(AND(252&lt;=$B$11*12,G280&gt;0),D281-E281,"")</f>
        <v>2204.29079594413</v>
      </c>
      <c r="G281" s="29" t="n">
        <f aca="false">IF(AND(252&lt;=$B$11*12,G280&gt;0),MAX(C281-F281,0),"")</f>
        <v>117196.744375042</v>
      </c>
    </row>
    <row r="282" customFormat="false" ht="15" hidden="false" customHeight="false" outlineLevel="0" collapsed="false">
      <c r="A282" s="24" t="n">
        <f aca="false">IF(253&lt;=$B$11*12,253,"")</f>
        <v>253</v>
      </c>
      <c r="B282" s="25" t="n">
        <f aca="true">IF(253&lt;=$B$11*12,DATE(YEAR(TODAY()),MONTH(TODAY())+253,1),"")</f>
        <v>53813</v>
      </c>
      <c r="C282" s="26" t="n">
        <f aca="false">IF(253&lt;=$B$11*12,G281,"")</f>
        <v>117196.744375042</v>
      </c>
      <c r="D282" s="26" t="n">
        <f aca="false">IF(AND(253&lt;=$B$11*12,G281&gt;0),MIN($B$22,C282*(1+$B$18)),"")</f>
        <v>2695.71580825401</v>
      </c>
      <c r="E282" s="26" t="n">
        <f aca="false">IF(AND(253&lt;=$B$11*12,G281&gt;0),C282*$B$18,"")</f>
        <v>482.352698740902</v>
      </c>
      <c r="F282" s="26" t="n">
        <f aca="false">IF(AND(253&lt;=$B$11*12,G281&gt;0),D282-E282,"")</f>
        <v>2213.36310951311</v>
      </c>
      <c r="G282" s="26" t="n">
        <f aca="false">IF(AND(253&lt;=$B$11*12,G281&gt;0),MAX(C282-F282,0),"")</f>
        <v>114983.381265529</v>
      </c>
    </row>
    <row r="283" customFormat="false" ht="15" hidden="false" customHeight="false" outlineLevel="0" collapsed="false">
      <c r="A283" s="27" t="n">
        <f aca="false">IF(254&lt;=$B$11*12,254,"")</f>
        <v>254</v>
      </c>
      <c r="B283" s="28" t="n">
        <f aca="true">IF(254&lt;=$B$11*12,DATE(YEAR(TODAY()),MONTH(TODAY())+254,1),"")</f>
        <v>53844</v>
      </c>
      <c r="C283" s="29" t="n">
        <f aca="false">IF(254&lt;=$B$11*12,G282,"")</f>
        <v>114983.381265529</v>
      </c>
      <c r="D283" s="29" t="n">
        <f aca="false">IF(AND(254&lt;=$B$11*12,G282&gt;0),MIN($B$22,C283*(1+$B$18)),"")</f>
        <v>2695.71580825401</v>
      </c>
      <c r="E283" s="29" t="n">
        <f aca="false">IF(AND(254&lt;=$B$11*12,G282&gt;0),C283*$B$18,"")</f>
        <v>473.243045782022</v>
      </c>
      <c r="F283" s="29" t="n">
        <f aca="false">IF(AND(254&lt;=$B$11*12,G282&gt;0),D283-E283,"")</f>
        <v>2222.47276247199</v>
      </c>
      <c r="G283" s="29" t="n">
        <f aca="false">IF(AND(254&lt;=$B$11*12,G282&gt;0),MAX(C283-F283,0),"")</f>
        <v>112760.908503057</v>
      </c>
    </row>
    <row r="284" customFormat="false" ht="15" hidden="false" customHeight="false" outlineLevel="0" collapsed="false">
      <c r="A284" s="24" t="n">
        <f aca="false">IF(255&lt;=$B$11*12,255,"")</f>
        <v>255</v>
      </c>
      <c r="B284" s="25" t="n">
        <f aca="true">IF(255&lt;=$B$11*12,DATE(YEAR(TODAY()),MONTH(TODAY())+255,1),"")</f>
        <v>53874</v>
      </c>
      <c r="C284" s="26" t="n">
        <f aca="false">IF(255&lt;=$B$11*12,G283,"")</f>
        <v>112760.908503057</v>
      </c>
      <c r="D284" s="26" t="n">
        <f aca="false">IF(AND(255&lt;=$B$11*12,G283&gt;0),MIN($B$22,C284*(1+$B$18)),"")</f>
        <v>2695.71580825401</v>
      </c>
      <c r="E284" s="26" t="n">
        <f aca="false">IF(AND(255&lt;=$B$11*12,G283&gt;0),C284*$B$18,"")</f>
        <v>464.09589975358</v>
      </c>
      <c r="F284" s="26" t="n">
        <f aca="false">IF(AND(255&lt;=$B$11*12,G283&gt;0),D284-E284,"")</f>
        <v>2231.61990850043</v>
      </c>
      <c r="G284" s="26" t="n">
        <f aca="false">IF(AND(255&lt;=$B$11*12,G283&gt;0),MAX(C284-F284,0),"")</f>
        <v>110529.288594557</v>
      </c>
    </row>
    <row r="285" customFormat="false" ht="15" hidden="false" customHeight="false" outlineLevel="0" collapsed="false">
      <c r="A285" s="27" t="n">
        <f aca="false">IF(256&lt;=$B$11*12,256,"")</f>
        <v>256</v>
      </c>
      <c r="B285" s="28" t="n">
        <f aca="true">IF(256&lt;=$B$11*12,DATE(YEAR(TODAY()),MONTH(TODAY())+256,1),"")</f>
        <v>53905</v>
      </c>
      <c r="C285" s="29" t="n">
        <f aca="false">IF(256&lt;=$B$11*12,G284,"")</f>
        <v>110529.288594557</v>
      </c>
      <c r="D285" s="29" t="n">
        <f aca="false">IF(AND(256&lt;=$B$11*12,G284&gt;0),MIN($B$22,C285*(1+$B$18)),"")</f>
        <v>2695.71580825401</v>
      </c>
      <c r="E285" s="29" t="n">
        <f aca="false">IF(AND(256&lt;=$B$11*12,G284&gt;0),C285*$B$18,"")</f>
        <v>454.911106343411</v>
      </c>
      <c r="F285" s="29" t="n">
        <f aca="false">IF(AND(256&lt;=$B$11*12,G284&gt;0),D285-E285,"")</f>
        <v>2240.8047019106</v>
      </c>
      <c r="G285" s="29" t="n">
        <f aca="false">IF(AND(256&lt;=$B$11*12,G284&gt;0),MAX(C285-F285,0),"")</f>
        <v>108288.483892646</v>
      </c>
    </row>
    <row r="286" customFormat="false" ht="15" hidden="false" customHeight="false" outlineLevel="0" collapsed="false">
      <c r="A286" s="24" t="n">
        <f aca="false">IF(257&lt;=$B$11*12,257,"")</f>
        <v>257</v>
      </c>
      <c r="B286" s="25" t="n">
        <f aca="true">IF(257&lt;=$B$11*12,DATE(YEAR(TODAY()),MONTH(TODAY())+257,1),"")</f>
        <v>53936</v>
      </c>
      <c r="C286" s="26" t="n">
        <f aca="false">IF(257&lt;=$B$11*12,G285,"")</f>
        <v>108288.483892646</v>
      </c>
      <c r="D286" s="26" t="n">
        <f aca="false">IF(AND(257&lt;=$B$11*12,G285&gt;0),MIN($B$22,C286*(1+$B$18)),"")</f>
        <v>2695.71580825401</v>
      </c>
      <c r="E286" s="26" t="n">
        <f aca="false">IF(AND(257&lt;=$B$11*12,G285&gt;0),C286*$B$18,"")</f>
        <v>445.688510604241</v>
      </c>
      <c r="F286" s="26" t="n">
        <f aca="false">IF(AND(257&lt;=$B$11*12,G285&gt;0),D286-E286,"")</f>
        <v>2250.02729764977</v>
      </c>
      <c r="G286" s="26" t="n">
        <f aca="false">IF(AND(257&lt;=$B$11*12,G285&gt;0),MAX(C286-F286,0),"")</f>
        <v>106038.456594996</v>
      </c>
    </row>
    <row r="287" customFormat="false" ht="15" hidden="false" customHeight="false" outlineLevel="0" collapsed="false">
      <c r="A287" s="27" t="n">
        <f aca="false">IF(258&lt;=$B$11*12,258,"")</f>
        <v>258</v>
      </c>
      <c r="B287" s="28" t="n">
        <f aca="true">IF(258&lt;=$B$11*12,DATE(YEAR(TODAY()),MONTH(TODAY())+258,1),"")</f>
        <v>53966</v>
      </c>
      <c r="C287" s="29" t="n">
        <f aca="false">IF(258&lt;=$B$11*12,G286,"")</f>
        <v>106038.456594996</v>
      </c>
      <c r="D287" s="29" t="n">
        <f aca="false">IF(AND(258&lt;=$B$11*12,G286&gt;0),MIN($B$22,C287*(1+$B$18)),"")</f>
        <v>2695.71580825401</v>
      </c>
      <c r="E287" s="29" t="n">
        <f aca="false">IF(AND(258&lt;=$B$11*12,G286&gt;0),C287*$B$18,"")</f>
        <v>436.42795695107</v>
      </c>
      <c r="F287" s="29" t="n">
        <f aca="false">IF(AND(258&lt;=$B$11*12,G286&gt;0),D287-E287,"")</f>
        <v>2259.28785130294</v>
      </c>
      <c r="G287" s="29" t="n">
        <f aca="false">IF(AND(258&lt;=$B$11*12,G286&gt;0),MAX(C287-F287,0),"")</f>
        <v>103779.168743693</v>
      </c>
    </row>
    <row r="288" customFormat="false" ht="15" hidden="false" customHeight="false" outlineLevel="0" collapsed="false">
      <c r="A288" s="24" t="n">
        <f aca="false">IF(259&lt;=$B$11*12,259,"")</f>
        <v>259</v>
      </c>
      <c r="B288" s="25" t="n">
        <f aca="true">IF(259&lt;=$B$11*12,DATE(YEAR(TODAY()),MONTH(TODAY())+259,1),"")</f>
        <v>53997</v>
      </c>
      <c r="C288" s="26" t="n">
        <f aca="false">IF(259&lt;=$B$11*12,G287,"")</f>
        <v>103779.168743693</v>
      </c>
      <c r="D288" s="26" t="n">
        <f aca="false">IF(AND(259&lt;=$B$11*12,G287&gt;0),MIN($B$22,C288*(1+$B$18)),"")</f>
        <v>2695.71580825401</v>
      </c>
      <c r="E288" s="26" t="n">
        <f aca="false">IF(AND(259&lt;=$B$11*12,G287&gt;0),C288*$B$18,"")</f>
        <v>427.129289158549</v>
      </c>
      <c r="F288" s="26" t="n">
        <f aca="false">IF(AND(259&lt;=$B$11*12,G287&gt;0),D288-E288,"")</f>
        <v>2268.58651909546</v>
      </c>
      <c r="G288" s="26" t="n">
        <f aca="false">IF(AND(259&lt;=$B$11*12,G287&gt;0),MAX(C288-F288,0),"")</f>
        <v>101510.582224598</v>
      </c>
    </row>
    <row r="289" customFormat="false" ht="15" hidden="false" customHeight="false" outlineLevel="0" collapsed="false">
      <c r="A289" s="27" t="n">
        <f aca="false">IF(260&lt;=$B$11*12,260,"")</f>
        <v>260</v>
      </c>
      <c r="B289" s="28" t="n">
        <f aca="true">IF(260&lt;=$B$11*12,DATE(YEAR(TODAY()),MONTH(TODAY())+260,1),"")</f>
        <v>54027</v>
      </c>
      <c r="C289" s="29" t="n">
        <f aca="false">IF(260&lt;=$B$11*12,G288,"")</f>
        <v>101510.582224598</v>
      </c>
      <c r="D289" s="29" t="n">
        <f aca="false">IF(AND(260&lt;=$B$11*12,G288&gt;0),MIN($B$22,C289*(1+$B$18)),"")</f>
        <v>2695.71580825401</v>
      </c>
      <c r="E289" s="29" t="n">
        <f aca="false">IF(AND(260&lt;=$B$11*12,G288&gt;0),C289*$B$18,"")</f>
        <v>417.792350358345</v>
      </c>
      <c r="F289" s="29" t="n">
        <f aca="false">IF(AND(260&lt;=$B$11*12,G288&gt;0),D289-E289,"")</f>
        <v>2277.92345789566</v>
      </c>
      <c r="G289" s="29" t="n">
        <f aca="false">IF(AND(260&lt;=$B$11*12,G288&gt;0),MAX(C289-F289,0),"")</f>
        <v>99232.6587667022</v>
      </c>
    </row>
    <row r="290" customFormat="false" ht="15" hidden="false" customHeight="false" outlineLevel="0" collapsed="false">
      <c r="A290" s="24" t="n">
        <f aca="false">IF(261&lt;=$B$11*12,261,"")</f>
        <v>261</v>
      </c>
      <c r="B290" s="25" t="n">
        <f aca="true">IF(261&lt;=$B$11*12,DATE(YEAR(TODAY()),MONTH(TODAY())+261,1),"")</f>
        <v>54058</v>
      </c>
      <c r="C290" s="26" t="n">
        <f aca="false">IF(261&lt;=$B$11*12,G289,"")</f>
        <v>99232.6587667022</v>
      </c>
      <c r="D290" s="26" t="n">
        <f aca="false">IF(AND(261&lt;=$B$11*12,G289&gt;0),MIN($B$22,C290*(1+$B$18)),"")</f>
        <v>2695.71580825401</v>
      </c>
      <c r="E290" s="26" t="n">
        <f aca="false">IF(AND(261&lt;=$B$11*12,G289&gt;0),C290*$B$18,"")</f>
        <v>408.416983036493</v>
      </c>
      <c r="F290" s="26" t="n">
        <f aca="false">IF(AND(261&lt;=$B$11*12,G289&gt;0),D290-E290,"")</f>
        <v>2287.29882521752</v>
      </c>
      <c r="G290" s="26" t="n">
        <f aca="false">IF(AND(261&lt;=$B$11*12,G289&gt;0),MAX(C290-F290,0),"")</f>
        <v>96945.3599414847</v>
      </c>
    </row>
    <row r="291" customFormat="false" ht="15" hidden="false" customHeight="false" outlineLevel="0" collapsed="false">
      <c r="A291" s="27" t="n">
        <f aca="false">IF(262&lt;=$B$11*12,262,"")</f>
        <v>262</v>
      </c>
      <c r="B291" s="28" t="n">
        <f aca="true">IF(262&lt;=$B$11*12,DATE(YEAR(TODAY()),MONTH(TODAY())+262,1),"")</f>
        <v>54089</v>
      </c>
      <c r="C291" s="29" t="n">
        <f aca="false">IF(262&lt;=$B$11*12,G290,"")</f>
        <v>96945.3599414847</v>
      </c>
      <c r="D291" s="29" t="n">
        <f aca="false">IF(AND(262&lt;=$B$11*12,G290&gt;0),MIN($B$22,C291*(1+$B$18)),"")</f>
        <v>2695.71580825401</v>
      </c>
      <c r="E291" s="29" t="n">
        <f aca="false">IF(AND(262&lt;=$B$11*12,G290&gt;0),C291*$B$18,"")</f>
        <v>399.003029030741</v>
      </c>
      <c r="F291" s="29" t="n">
        <f aca="false">IF(AND(262&lt;=$B$11*12,G290&gt;0),D291-E291,"")</f>
        <v>2296.71277922327</v>
      </c>
      <c r="G291" s="29" t="n">
        <f aca="false">IF(AND(262&lt;=$B$11*12,G290&gt;0),MAX(C291-F291,0),"")</f>
        <v>94648.6471622614</v>
      </c>
    </row>
    <row r="292" customFormat="false" ht="15" hidden="false" customHeight="false" outlineLevel="0" collapsed="false">
      <c r="A292" s="24" t="n">
        <f aca="false">IF(263&lt;=$B$11*12,263,"")</f>
        <v>263</v>
      </c>
      <c r="B292" s="25" t="n">
        <f aca="true">IF(263&lt;=$B$11*12,DATE(YEAR(TODAY()),MONTH(TODAY())+263,1),"")</f>
        <v>54118</v>
      </c>
      <c r="C292" s="26" t="n">
        <f aca="false">IF(263&lt;=$B$11*12,G291,"")</f>
        <v>94648.6471622614</v>
      </c>
      <c r="D292" s="26" t="n">
        <f aca="false">IF(AND(263&lt;=$B$11*12,G291&gt;0),MIN($B$22,C292*(1+$B$18)),"")</f>
        <v>2695.71580825401</v>
      </c>
      <c r="E292" s="26" t="n">
        <f aca="false">IF(AND(263&lt;=$B$11*12,G291&gt;0),C292*$B$18,"")</f>
        <v>389.550329527878</v>
      </c>
      <c r="F292" s="26" t="n">
        <f aca="false">IF(AND(263&lt;=$B$11*12,G291&gt;0),D292-E292,"")</f>
        <v>2306.16547872613</v>
      </c>
      <c r="G292" s="26" t="n">
        <f aca="false">IF(AND(263&lt;=$B$11*12,G291&gt;0),MAX(C292-F292,0),"")</f>
        <v>92342.4816835353</v>
      </c>
    </row>
    <row r="293" customFormat="false" ht="15" hidden="false" customHeight="false" outlineLevel="0" collapsed="false">
      <c r="A293" s="27" t="n">
        <f aca="false">IF(264&lt;=$B$11*12,264,"")</f>
        <v>264</v>
      </c>
      <c r="B293" s="28" t="n">
        <f aca="true">IF(264&lt;=$B$11*12,DATE(YEAR(TODAY()),MONTH(TODAY())+264,1),"")</f>
        <v>54149</v>
      </c>
      <c r="C293" s="29" t="n">
        <f aca="false">IF(264&lt;=$B$11*12,G292,"")</f>
        <v>92342.4816835353</v>
      </c>
      <c r="D293" s="29" t="n">
        <f aca="false">IF(AND(264&lt;=$B$11*12,G292&gt;0),MIN($B$22,C293*(1+$B$18)),"")</f>
        <v>2695.71580825401</v>
      </c>
      <c r="E293" s="29" t="n">
        <f aca="false">IF(AND(264&lt;=$B$11*12,G292&gt;0),C293*$B$18,"")</f>
        <v>380.058725061061</v>
      </c>
      <c r="F293" s="29" t="n">
        <f aca="false">IF(AND(264&lt;=$B$11*12,G292&gt;0),D293-E293,"")</f>
        <v>2315.65708319295</v>
      </c>
      <c r="G293" s="29" t="n">
        <f aca="false">IF(AND(264&lt;=$B$11*12,G292&gt;0),MAX(C293-F293,0),"")</f>
        <v>90026.8246003424</v>
      </c>
    </row>
    <row r="294" customFormat="false" ht="15" hidden="false" customHeight="false" outlineLevel="0" collapsed="false">
      <c r="A294" s="24" t="n">
        <f aca="false">IF(265&lt;=$B$11*12,265,"")</f>
        <v>265</v>
      </c>
      <c r="B294" s="25" t="n">
        <f aca="true">IF(265&lt;=$B$11*12,DATE(YEAR(TODAY()),MONTH(TODAY())+265,1),"")</f>
        <v>54179</v>
      </c>
      <c r="C294" s="26" t="n">
        <f aca="false">IF(265&lt;=$B$11*12,G293,"")</f>
        <v>90026.8246003424</v>
      </c>
      <c r="D294" s="26" t="n">
        <f aca="false">IF(AND(265&lt;=$B$11*12,G293&gt;0),MIN($B$22,C294*(1+$B$18)),"")</f>
        <v>2695.71580825401</v>
      </c>
      <c r="E294" s="26" t="n">
        <f aca="false">IF(AND(265&lt;=$B$11*12,G293&gt;0),C294*$B$18,"")</f>
        <v>370.528055507116</v>
      </c>
      <c r="F294" s="26" t="n">
        <f aca="false">IF(AND(265&lt;=$B$11*12,G293&gt;0),D294-E294,"")</f>
        <v>2325.18775274689</v>
      </c>
      <c r="G294" s="26" t="n">
        <f aca="false">IF(AND(265&lt;=$B$11*12,G293&gt;0),MAX(C294-F294,0),"")</f>
        <v>87701.6368475955</v>
      </c>
    </row>
    <row r="295" customFormat="false" ht="15" hidden="false" customHeight="false" outlineLevel="0" collapsed="false">
      <c r="A295" s="27" t="n">
        <f aca="false">IF(266&lt;=$B$11*12,266,"")</f>
        <v>266</v>
      </c>
      <c r="B295" s="28" t="n">
        <f aca="true">IF(266&lt;=$B$11*12,DATE(YEAR(TODAY()),MONTH(TODAY())+266,1),"")</f>
        <v>54210</v>
      </c>
      <c r="C295" s="29" t="n">
        <f aca="false">IF(266&lt;=$B$11*12,G294,"")</f>
        <v>87701.6368475955</v>
      </c>
      <c r="D295" s="29" t="n">
        <f aca="false">IF(AND(266&lt;=$B$11*12,G294&gt;0),MIN($B$22,C295*(1+$B$18)),"")</f>
        <v>2695.71580825401</v>
      </c>
      <c r="E295" s="29" t="n">
        <f aca="false">IF(AND(266&lt;=$B$11*12,G294&gt;0),C295*$B$18,"")</f>
        <v>360.958160083847</v>
      </c>
      <c r="F295" s="29" t="n">
        <f aca="false">IF(AND(266&lt;=$B$11*12,G294&gt;0),D295-E295,"")</f>
        <v>2334.75764817016</v>
      </c>
      <c r="G295" s="29" t="n">
        <f aca="false">IF(AND(266&lt;=$B$11*12,G294&gt;0),MAX(C295-F295,0),"")</f>
        <v>85366.8791994253</v>
      </c>
    </row>
    <row r="296" customFormat="false" ht="15" hidden="false" customHeight="false" outlineLevel="0" collapsed="false">
      <c r="A296" s="24" t="n">
        <f aca="false">IF(267&lt;=$B$11*12,267,"")</f>
        <v>267</v>
      </c>
      <c r="B296" s="25" t="n">
        <f aca="true">IF(267&lt;=$B$11*12,DATE(YEAR(TODAY()),MONTH(TODAY())+267,1),"")</f>
        <v>54240</v>
      </c>
      <c r="C296" s="26" t="n">
        <f aca="false">IF(267&lt;=$B$11*12,G295,"")</f>
        <v>85366.8791994253</v>
      </c>
      <c r="D296" s="26" t="n">
        <f aca="false">IF(AND(267&lt;=$B$11*12,G295&gt;0),MIN($B$22,C296*(1+$B$18)),"")</f>
        <v>2695.71580825401</v>
      </c>
      <c r="E296" s="26" t="n">
        <f aca="false">IF(AND(267&lt;=$B$11*12,G295&gt;0),C296*$B$18,"")</f>
        <v>351.348877347315</v>
      </c>
      <c r="F296" s="26" t="n">
        <f aca="false">IF(AND(267&lt;=$B$11*12,G295&gt;0),D296-E296,"")</f>
        <v>2344.36693090669</v>
      </c>
      <c r="G296" s="26" t="n">
        <f aca="false">IF(AND(267&lt;=$B$11*12,G295&gt;0),MAX(C296-F296,0),"")</f>
        <v>83022.5122685186</v>
      </c>
    </row>
    <row r="297" customFormat="false" ht="15" hidden="false" customHeight="false" outlineLevel="0" collapsed="false">
      <c r="A297" s="27" t="n">
        <f aca="false">IF(268&lt;=$B$11*12,268,"")</f>
        <v>268</v>
      </c>
      <c r="B297" s="28" t="n">
        <f aca="true">IF(268&lt;=$B$11*12,DATE(YEAR(TODAY()),MONTH(TODAY())+268,1),"")</f>
        <v>54271</v>
      </c>
      <c r="C297" s="29" t="n">
        <f aca="false">IF(268&lt;=$B$11*12,G296,"")</f>
        <v>83022.5122685186</v>
      </c>
      <c r="D297" s="29" t="n">
        <f aca="false">IF(AND(268&lt;=$B$11*12,G296&gt;0),MIN($B$22,C297*(1+$B$18)),"")</f>
        <v>2695.71580825401</v>
      </c>
      <c r="E297" s="29" t="n">
        <f aca="false">IF(AND(268&lt;=$B$11*12,G296&gt;0),C297*$B$18,"")</f>
        <v>341.700045189119</v>
      </c>
      <c r="F297" s="29" t="n">
        <f aca="false">IF(AND(268&lt;=$B$11*12,G296&gt;0),D297-E297,"")</f>
        <v>2354.01576306489</v>
      </c>
      <c r="G297" s="29" t="n">
        <f aca="false">IF(AND(268&lt;=$B$11*12,G296&gt;0),MAX(C297-F297,0),"")</f>
        <v>80668.4965054537</v>
      </c>
    </row>
    <row r="298" customFormat="false" ht="15" hidden="false" customHeight="false" outlineLevel="0" collapsed="false">
      <c r="A298" s="24" t="n">
        <f aca="false">IF(269&lt;=$B$11*12,269,"")</f>
        <v>269</v>
      </c>
      <c r="B298" s="25" t="n">
        <f aca="true">IF(269&lt;=$B$11*12,DATE(YEAR(TODAY()),MONTH(TODAY())+269,1),"")</f>
        <v>54302</v>
      </c>
      <c r="C298" s="26" t="n">
        <f aca="false">IF(269&lt;=$B$11*12,G297,"")</f>
        <v>80668.4965054537</v>
      </c>
      <c r="D298" s="26" t="n">
        <f aca="false">IF(AND(269&lt;=$B$11*12,G297&gt;0),MIN($B$22,C298*(1+$B$18)),"")</f>
        <v>2695.71580825401</v>
      </c>
      <c r="E298" s="26" t="n">
        <f aca="false">IF(AND(269&lt;=$B$11*12,G297&gt;0),C298*$B$18,"")</f>
        <v>332.011500833661</v>
      </c>
      <c r="F298" s="26" t="n">
        <f aca="false">IF(AND(269&lt;=$B$11*12,G297&gt;0),D298-E298,"")</f>
        <v>2363.70430742035</v>
      </c>
      <c r="G298" s="26" t="n">
        <f aca="false">IF(AND(269&lt;=$B$11*12,G297&gt;0),MAX(C298-F298,0),"")</f>
        <v>78304.7921980334</v>
      </c>
    </row>
    <row r="299" customFormat="false" ht="15" hidden="false" customHeight="false" outlineLevel="0" collapsed="false">
      <c r="A299" s="27" t="n">
        <f aca="false">IF(270&lt;=$B$11*12,270,"")</f>
        <v>270</v>
      </c>
      <c r="B299" s="28" t="n">
        <f aca="true">IF(270&lt;=$B$11*12,DATE(YEAR(TODAY()),MONTH(TODAY())+270,1),"")</f>
        <v>54332</v>
      </c>
      <c r="C299" s="29" t="n">
        <f aca="false">IF(270&lt;=$B$11*12,G298,"")</f>
        <v>78304.7921980334</v>
      </c>
      <c r="D299" s="29" t="n">
        <f aca="false">IF(AND(270&lt;=$B$11*12,G298&gt;0),MIN($B$22,C299*(1+$B$18)),"")</f>
        <v>2695.71580825401</v>
      </c>
      <c r="E299" s="29" t="n">
        <f aca="false">IF(AND(270&lt;=$B$11*12,G298&gt;0),C299*$B$18,"")</f>
        <v>322.283080835396</v>
      </c>
      <c r="F299" s="29" t="n">
        <f aca="false">IF(AND(270&lt;=$B$11*12,G298&gt;0),D299-E299,"")</f>
        <v>2373.43272741861</v>
      </c>
      <c r="G299" s="29" t="n">
        <f aca="false">IF(AND(270&lt;=$B$11*12,G298&gt;0),MAX(C299-F299,0),"")</f>
        <v>75931.3594706148</v>
      </c>
    </row>
    <row r="300" customFormat="false" ht="15" hidden="false" customHeight="false" outlineLevel="0" collapsed="false">
      <c r="A300" s="24" t="n">
        <f aca="false">IF(271&lt;=$B$11*12,271,"")</f>
        <v>271</v>
      </c>
      <c r="B300" s="25" t="n">
        <f aca="true">IF(271&lt;=$B$11*12,DATE(YEAR(TODAY()),MONTH(TODAY())+271,1),"")</f>
        <v>54363</v>
      </c>
      <c r="C300" s="26" t="n">
        <f aca="false">IF(271&lt;=$B$11*12,G299,"")</f>
        <v>75931.3594706148</v>
      </c>
      <c r="D300" s="26" t="n">
        <f aca="false">IF(AND(271&lt;=$B$11*12,G299&gt;0),MIN($B$22,C300*(1+$B$18)),"")</f>
        <v>2695.71580825401</v>
      </c>
      <c r="E300" s="26" t="n">
        <f aca="false">IF(AND(271&lt;=$B$11*12,G299&gt;0),C300*$B$18,"")</f>
        <v>312.514621076081</v>
      </c>
      <c r="F300" s="26" t="n">
        <f aca="false">IF(AND(271&lt;=$B$11*12,G299&gt;0),D300-E300,"")</f>
        <v>2383.20118717793</v>
      </c>
      <c r="G300" s="26" t="n">
        <f aca="false">IF(AND(271&lt;=$B$11*12,G299&gt;0),MAX(C300-F300,0),"")</f>
        <v>73548.1582834369</v>
      </c>
    </row>
    <row r="301" customFormat="false" ht="15" hidden="false" customHeight="false" outlineLevel="0" collapsed="false">
      <c r="A301" s="27" t="n">
        <f aca="false">IF(272&lt;=$B$11*12,272,"")</f>
        <v>272</v>
      </c>
      <c r="B301" s="28" t="n">
        <f aca="true">IF(272&lt;=$B$11*12,DATE(YEAR(TODAY()),MONTH(TODAY())+272,1),"")</f>
        <v>54393</v>
      </c>
      <c r="C301" s="29" t="n">
        <f aca="false">IF(272&lt;=$B$11*12,G300,"")</f>
        <v>73548.1582834369</v>
      </c>
      <c r="D301" s="29" t="n">
        <f aca="false">IF(AND(272&lt;=$B$11*12,G300&gt;0),MIN($B$22,C301*(1+$B$18)),"")</f>
        <v>2695.71580825401</v>
      </c>
      <c r="E301" s="29" t="n">
        <f aca="false">IF(AND(272&lt;=$B$11*12,G300&gt;0),C301*$B$18,"")</f>
        <v>302.705956762001</v>
      </c>
      <c r="F301" s="29" t="n">
        <f aca="false">IF(AND(272&lt;=$B$11*12,G300&gt;0),D301-E301,"")</f>
        <v>2393.00985149201</v>
      </c>
      <c r="G301" s="29" t="n">
        <f aca="false">IF(AND(272&lt;=$B$11*12,G300&gt;0),MAX(C301-F301,0),"")</f>
        <v>71155.1484319448</v>
      </c>
    </row>
    <row r="302" customFormat="false" ht="15" hidden="false" customHeight="false" outlineLevel="0" collapsed="false">
      <c r="A302" s="24" t="n">
        <f aca="false">IF(273&lt;=$B$11*12,273,"")</f>
        <v>273</v>
      </c>
      <c r="B302" s="25" t="n">
        <f aca="true">IF(273&lt;=$B$11*12,DATE(YEAR(TODAY()),MONTH(TODAY())+273,1),"")</f>
        <v>54424</v>
      </c>
      <c r="C302" s="26" t="n">
        <f aca="false">IF(273&lt;=$B$11*12,G301,"")</f>
        <v>71155.1484319448</v>
      </c>
      <c r="D302" s="26" t="n">
        <f aca="false">IF(AND(273&lt;=$B$11*12,G301&gt;0),MIN($B$22,C302*(1+$B$18)),"")</f>
        <v>2695.71580825401</v>
      </c>
      <c r="E302" s="26" t="n">
        <f aca="false">IF(AND(273&lt;=$B$11*12,G301&gt;0),C302*$B$18,"")</f>
        <v>292.856922421192</v>
      </c>
      <c r="F302" s="26" t="n">
        <f aca="false">IF(AND(273&lt;=$B$11*12,G301&gt;0),D302-E302,"")</f>
        <v>2402.85888583282</v>
      </c>
      <c r="G302" s="26" t="n">
        <f aca="false">IF(AND(273&lt;=$B$11*12,G301&gt;0),MAX(C302-F302,0),"")</f>
        <v>68752.289546112</v>
      </c>
    </row>
    <row r="303" customFormat="false" ht="15" hidden="false" customHeight="false" outlineLevel="0" collapsed="false">
      <c r="A303" s="27" t="n">
        <f aca="false">IF(274&lt;=$B$11*12,274,"")</f>
        <v>274</v>
      </c>
      <c r="B303" s="28" t="n">
        <f aca="true">IF(274&lt;=$B$11*12,DATE(YEAR(TODAY()),MONTH(TODAY())+274,1),"")</f>
        <v>54455</v>
      </c>
      <c r="C303" s="29" t="n">
        <f aca="false">IF(274&lt;=$B$11*12,G302,"")</f>
        <v>68752.289546112</v>
      </c>
      <c r="D303" s="29" t="n">
        <f aca="false">IF(AND(274&lt;=$B$11*12,G302&gt;0),MIN($B$22,C303*(1+$B$18)),"")</f>
        <v>2695.71580825401</v>
      </c>
      <c r="E303" s="29" t="n">
        <f aca="false">IF(AND(274&lt;=$B$11*12,G302&gt;0),C303*$B$18,"")</f>
        <v>282.96735190065</v>
      </c>
      <c r="F303" s="29" t="n">
        <f aca="false">IF(AND(274&lt;=$B$11*12,G302&gt;0),D303-E303,"")</f>
        <v>2412.74845635336</v>
      </c>
      <c r="G303" s="29" t="n">
        <f aca="false">IF(AND(274&lt;=$B$11*12,G302&gt;0),MAX(C303-F303,0),"")</f>
        <v>66339.5410897587</v>
      </c>
    </row>
    <row r="304" customFormat="false" ht="15" hidden="false" customHeight="false" outlineLevel="0" collapsed="false">
      <c r="A304" s="24" t="n">
        <f aca="false">IF(275&lt;=$B$11*12,275,"")</f>
        <v>275</v>
      </c>
      <c r="B304" s="25" t="n">
        <f aca="true">IF(275&lt;=$B$11*12,DATE(YEAR(TODAY()),MONTH(TODAY())+275,1),"")</f>
        <v>54483</v>
      </c>
      <c r="C304" s="26" t="n">
        <f aca="false">IF(275&lt;=$B$11*12,G303,"")</f>
        <v>66339.5410897587</v>
      </c>
      <c r="D304" s="26" t="n">
        <f aca="false">IF(AND(275&lt;=$B$11*12,G303&gt;0),MIN($B$22,C304*(1+$B$18)),"")</f>
        <v>2695.71580825401</v>
      </c>
      <c r="E304" s="26" t="n">
        <f aca="false">IF(AND(275&lt;=$B$11*12,G303&gt;0),C304*$B$18,"")</f>
        <v>273.037078363522</v>
      </c>
      <c r="F304" s="26" t="n">
        <f aca="false">IF(AND(275&lt;=$B$11*12,G303&gt;0),D304-E304,"")</f>
        <v>2422.67872989049</v>
      </c>
      <c r="G304" s="26" t="n">
        <f aca="false">IF(AND(275&lt;=$B$11*12,G303&gt;0),MAX(C304-F304,0),"")</f>
        <v>63916.8623598682</v>
      </c>
    </row>
    <row r="305" customFormat="false" ht="15" hidden="false" customHeight="false" outlineLevel="0" collapsed="false">
      <c r="A305" s="27" t="n">
        <f aca="false">IF(276&lt;=$B$11*12,276,"")</f>
        <v>276</v>
      </c>
      <c r="B305" s="28" t="n">
        <f aca="true">IF(276&lt;=$B$11*12,DATE(YEAR(TODAY()),MONTH(TODAY())+276,1),"")</f>
        <v>54514</v>
      </c>
      <c r="C305" s="29" t="n">
        <f aca="false">IF(276&lt;=$B$11*12,G304,"")</f>
        <v>63916.8623598682</v>
      </c>
      <c r="D305" s="29" t="n">
        <f aca="false">IF(AND(276&lt;=$B$11*12,G304&gt;0),MIN($B$22,C305*(1+$B$18)),"")</f>
        <v>2695.71580825401</v>
      </c>
      <c r="E305" s="29" t="n">
        <f aca="false">IF(AND(276&lt;=$B$11*12,G304&gt;0),C305*$B$18,"")</f>
        <v>263.0659342863</v>
      </c>
      <c r="F305" s="29" t="n">
        <f aca="false">IF(AND(276&lt;=$B$11*12,G304&gt;0),D305-E305,"")</f>
        <v>2432.64987396771</v>
      </c>
      <c r="G305" s="29" t="n">
        <f aca="false">IF(AND(276&lt;=$B$11*12,G304&gt;0),MAX(C305-F305,0),"")</f>
        <v>61484.2124859005</v>
      </c>
    </row>
    <row r="306" customFormat="false" ht="15" hidden="false" customHeight="false" outlineLevel="0" collapsed="false">
      <c r="A306" s="24" t="n">
        <f aca="false">IF(277&lt;=$B$11*12,277,"")</f>
        <v>277</v>
      </c>
      <c r="B306" s="25" t="n">
        <f aca="true">IF(277&lt;=$B$11*12,DATE(YEAR(TODAY()),MONTH(TODAY())+277,1),"")</f>
        <v>54544</v>
      </c>
      <c r="C306" s="26" t="n">
        <f aca="false">IF(277&lt;=$B$11*12,G305,"")</f>
        <v>61484.2124859005</v>
      </c>
      <c r="D306" s="26" t="n">
        <f aca="false">IF(AND(277&lt;=$B$11*12,G305&gt;0),MIN($B$22,C306*(1+$B$18)),"")</f>
        <v>2695.71580825401</v>
      </c>
      <c r="E306" s="26" t="n">
        <f aca="false">IF(AND(277&lt;=$B$11*12,G305&gt;0),C306*$B$18,"")</f>
        <v>253.05375145599</v>
      </c>
      <c r="F306" s="26" t="n">
        <f aca="false">IF(AND(277&lt;=$B$11*12,G305&gt;0),D306-E306,"")</f>
        <v>2442.66205679802</v>
      </c>
      <c r="G306" s="26" t="n">
        <f aca="false">IF(AND(277&lt;=$B$11*12,G305&gt;0),MAX(C306-F306,0),"")</f>
        <v>59041.5504291024</v>
      </c>
    </row>
    <row r="307" customFormat="false" ht="15" hidden="false" customHeight="false" outlineLevel="0" collapsed="false">
      <c r="A307" s="27" t="n">
        <f aca="false">IF(278&lt;=$B$11*12,278,"")</f>
        <v>278</v>
      </c>
      <c r="B307" s="28" t="n">
        <f aca="true">IF(278&lt;=$B$11*12,DATE(YEAR(TODAY()),MONTH(TODAY())+278,1),"")</f>
        <v>54575</v>
      </c>
      <c r="C307" s="29" t="n">
        <f aca="false">IF(278&lt;=$B$11*12,G306,"")</f>
        <v>59041.5504291024</v>
      </c>
      <c r="D307" s="29" t="n">
        <f aca="false">IF(AND(278&lt;=$B$11*12,G306&gt;0),MIN($B$22,C307*(1+$B$18)),"")</f>
        <v>2695.71580825401</v>
      </c>
      <c r="E307" s="29" t="n">
        <f aca="false">IF(AND(278&lt;=$B$11*12,G306&gt;0),C307*$B$18,"")</f>
        <v>243.000360967274</v>
      </c>
      <c r="F307" s="29" t="n">
        <f aca="false">IF(AND(278&lt;=$B$11*12,G306&gt;0),D307-E307,"")</f>
        <v>2452.71544728673</v>
      </c>
      <c r="G307" s="29" t="n">
        <f aca="false">IF(AND(278&lt;=$B$11*12,G306&gt;0),MAX(C307-F307,0),"")</f>
        <v>56588.8349818157</v>
      </c>
    </row>
    <row r="308" customFormat="false" ht="15" hidden="false" customHeight="false" outlineLevel="0" collapsed="false">
      <c r="A308" s="24" t="n">
        <f aca="false">IF(279&lt;=$B$11*12,279,"")</f>
        <v>279</v>
      </c>
      <c r="B308" s="25" t="n">
        <f aca="true">IF(279&lt;=$B$11*12,DATE(YEAR(TODAY()),MONTH(TODAY())+279,1),"")</f>
        <v>54605</v>
      </c>
      <c r="C308" s="26" t="n">
        <f aca="false">IF(279&lt;=$B$11*12,G307,"")</f>
        <v>56588.8349818157</v>
      </c>
      <c r="D308" s="26" t="n">
        <f aca="false">IF(AND(279&lt;=$B$11*12,G307&gt;0),MIN($B$22,C308*(1+$B$18)),"")</f>
        <v>2695.71580825401</v>
      </c>
      <c r="E308" s="26" t="n">
        <f aca="false">IF(AND(279&lt;=$B$11*12,G307&gt;0),C308*$B$18,"")</f>
        <v>232.905593219663</v>
      </c>
      <c r="F308" s="26" t="n">
        <f aca="false">IF(AND(279&lt;=$B$11*12,G307&gt;0),D308-E308,"")</f>
        <v>2462.81021503435</v>
      </c>
      <c r="G308" s="26" t="n">
        <f aca="false">IF(AND(279&lt;=$B$11*12,G307&gt;0),MAX(C308-F308,0),"")</f>
        <v>54126.0247667814</v>
      </c>
    </row>
    <row r="309" customFormat="false" ht="15" hidden="false" customHeight="false" outlineLevel="0" collapsed="false">
      <c r="A309" s="27" t="n">
        <f aca="false">IF(280&lt;=$B$11*12,280,"")</f>
        <v>280</v>
      </c>
      <c r="B309" s="28" t="n">
        <f aca="true">IF(280&lt;=$B$11*12,DATE(YEAR(TODAY()),MONTH(TODAY())+280,1),"")</f>
        <v>54636</v>
      </c>
      <c r="C309" s="29" t="n">
        <f aca="false">IF(280&lt;=$B$11*12,G308,"")</f>
        <v>54126.0247667814</v>
      </c>
      <c r="D309" s="29" t="n">
        <f aca="false">IF(AND(280&lt;=$B$11*12,G308&gt;0),MIN($B$22,C309*(1+$B$18)),"")</f>
        <v>2695.71580825401</v>
      </c>
      <c r="E309" s="29" t="n">
        <f aca="false">IF(AND(280&lt;=$B$11*12,G308&gt;0),C309*$B$18,"")</f>
        <v>222.769277914632</v>
      </c>
      <c r="F309" s="29" t="n">
        <f aca="false">IF(AND(280&lt;=$B$11*12,G308&gt;0),D309-E309,"")</f>
        <v>2472.94653033938</v>
      </c>
      <c r="G309" s="29" t="n">
        <f aca="false">IF(AND(280&lt;=$B$11*12,G308&gt;0),MAX(C309-F309,0),"")</f>
        <v>51653.078236442</v>
      </c>
    </row>
    <row r="310" customFormat="false" ht="15" hidden="false" customHeight="false" outlineLevel="0" collapsed="false">
      <c r="A310" s="24" t="n">
        <f aca="false">IF(281&lt;=$B$11*12,281,"")</f>
        <v>281</v>
      </c>
      <c r="B310" s="25" t="n">
        <f aca="true">IF(281&lt;=$B$11*12,DATE(YEAR(TODAY()),MONTH(TODAY())+281,1),"")</f>
        <v>54667</v>
      </c>
      <c r="C310" s="26" t="n">
        <f aca="false">IF(281&lt;=$B$11*12,G309,"")</f>
        <v>51653.078236442</v>
      </c>
      <c r="D310" s="26" t="n">
        <f aca="false">IF(AND(281&lt;=$B$11*12,G309&gt;0),MIN($B$22,C310*(1+$B$18)),"")</f>
        <v>2695.71580825401</v>
      </c>
      <c r="E310" s="26" t="n">
        <f aca="false">IF(AND(281&lt;=$B$11*12,G309&gt;0),C310*$B$18,"")</f>
        <v>212.591244052753</v>
      </c>
      <c r="F310" s="26" t="n">
        <f aca="false">IF(AND(281&lt;=$B$11*12,G309&gt;0),D310-E310,"")</f>
        <v>2483.12456420126</v>
      </c>
      <c r="G310" s="26" t="n">
        <f aca="false">IF(AND(281&lt;=$B$11*12,G309&gt;0),MAX(C310-F310,0),"")</f>
        <v>49169.9536722407</v>
      </c>
    </row>
    <row r="311" customFormat="false" ht="15" hidden="false" customHeight="false" outlineLevel="0" collapsed="false">
      <c r="A311" s="27" t="n">
        <f aca="false">IF(282&lt;=$B$11*12,282,"")</f>
        <v>282</v>
      </c>
      <c r="B311" s="28" t="n">
        <f aca="true">IF(282&lt;=$B$11*12,DATE(YEAR(TODAY()),MONTH(TODAY())+282,1),"")</f>
        <v>54697</v>
      </c>
      <c r="C311" s="29" t="n">
        <f aca="false">IF(282&lt;=$B$11*12,G310,"")</f>
        <v>49169.9536722407</v>
      </c>
      <c r="D311" s="29" t="n">
        <f aca="false">IF(AND(282&lt;=$B$11*12,G310&gt;0),MIN($B$22,C311*(1+$B$18)),"")</f>
        <v>2695.71580825401</v>
      </c>
      <c r="E311" s="29" t="n">
        <f aca="false">IF(AND(282&lt;=$B$11*12,G310&gt;0),C311*$B$18,"")</f>
        <v>202.371319930805</v>
      </c>
      <c r="F311" s="29" t="n">
        <f aca="false">IF(AND(282&lt;=$B$11*12,G310&gt;0),D311-E311,"")</f>
        <v>2493.3444883232</v>
      </c>
      <c r="G311" s="29" t="n">
        <f aca="false">IF(AND(282&lt;=$B$11*12,G310&gt;0),MAX(C311-F311,0),"")</f>
        <v>46676.6091839175</v>
      </c>
    </row>
    <row r="312" customFormat="false" ht="15" hidden="false" customHeight="false" outlineLevel="0" collapsed="false">
      <c r="A312" s="24" t="n">
        <f aca="false">IF(283&lt;=$B$11*12,283,"")</f>
        <v>283</v>
      </c>
      <c r="B312" s="25" t="n">
        <f aca="true">IF(283&lt;=$B$11*12,DATE(YEAR(TODAY()),MONTH(TODAY())+283,1),"")</f>
        <v>54728</v>
      </c>
      <c r="C312" s="26" t="n">
        <f aca="false">IF(283&lt;=$B$11*12,G311,"")</f>
        <v>46676.6091839175</v>
      </c>
      <c r="D312" s="26" t="n">
        <f aca="false">IF(AND(283&lt;=$B$11*12,G311&gt;0),MIN($B$22,C312*(1+$B$18)),"")</f>
        <v>2695.71580825401</v>
      </c>
      <c r="E312" s="26" t="n">
        <f aca="false">IF(AND(283&lt;=$B$11*12,G311&gt;0),C312*$B$18,"")</f>
        <v>192.109333138879</v>
      </c>
      <c r="F312" s="26" t="n">
        <f aca="false">IF(AND(283&lt;=$B$11*12,G311&gt;0),D312-E312,"")</f>
        <v>2503.60647511513</v>
      </c>
      <c r="G312" s="26" t="n">
        <f aca="false">IF(AND(283&lt;=$B$11*12,G311&gt;0),MAX(C312-F312,0),"")</f>
        <v>44173.0027088024</v>
      </c>
    </row>
    <row r="313" customFormat="false" ht="15" hidden="false" customHeight="false" outlineLevel="0" collapsed="false">
      <c r="A313" s="27" t="n">
        <f aca="false">IF(284&lt;=$B$11*12,284,"")</f>
        <v>284</v>
      </c>
      <c r="B313" s="28" t="n">
        <f aca="true">IF(284&lt;=$B$11*12,DATE(YEAR(TODAY()),MONTH(TODAY())+284,1),"")</f>
        <v>54758</v>
      </c>
      <c r="C313" s="29" t="n">
        <f aca="false">IF(284&lt;=$B$11*12,G312,"")</f>
        <v>44173.0027088024</v>
      </c>
      <c r="D313" s="29" t="n">
        <f aca="false">IF(AND(284&lt;=$B$11*12,G312&gt;0),MIN($B$22,C313*(1+$B$18)),"")</f>
        <v>2695.71580825401</v>
      </c>
      <c r="E313" s="29" t="n">
        <f aca="false">IF(AND(284&lt;=$B$11*12,G312&gt;0),C313*$B$18,"")</f>
        <v>181.805110557469</v>
      </c>
      <c r="F313" s="29" t="n">
        <f aca="false">IF(AND(284&lt;=$B$11*12,G312&gt;0),D313-E313,"")</f>
        <v>2513.91069769654</v>
      </c>
      <c r="G313" s="29" t="n">
        <f aca="false">IF(AND(284&lt;=$B$11*12,G312&gt;0),MAX(C313-F313,0),"")</f>
        <v>41659.0920111059</v>
      </c>
    </row>
    <row r="314" customFormat="false" ht="15" hidden="false" customHeight="false" outlineLevel="0" collapsed="false">
      <c r="A314" s="24" t="n">
        <f aca="false">IF(285&lt;=$B$11*12,285,"")</f>
        <v>285</v>
      </c>
      <c r="B314" s="25" t="n">
        <f aca="true">IF(285&lt;=$B$11*12,DATE(YEAR(TODAY()),MONTH(TODAY())+285,1),"")</f>
        <v>54789</v>
      </c>
      <c r="C314" s="26" t="n">
        <f aca="false">IF(285&lt;=$B$11*12,G313,"")</f>
        <v>41659.0920111059</v>
      </c>
      <c r="D314" s="26" t="n">
        <f aca="false">IF(AND(285&lt;=$B$11*12,G313&gt;0),MIN($B$22,C314*(1+$B$18)),"")</f>
        <v>2695.71580825401</v>
      </c>
      <c r="E314" s="26" t="n">
        <f aca="false">IF(AND(285&lt;=$B$11*12,G313&gt;0),C314*$B$18,"")</f>
        <v>171.458478354555</v>
      </c>
      <c r="F314" s="26" t="n">
        <f aca="false">IF(AND(285&lt;=$B$11*12,G313&gt;0),D314-E314,"")</f>
        <v>2524.25732989945</v>
      </c>
      <c r="G314" s="26" t="n">
        <f aca="false">IF(AND(285&lt;=$B$11*12,G313&gt;0),MAX(C314-F314,0),"")</f>
        <v>39134.8346812064</v>
      </c>
    </row>
    <row r="315" customFormat="false" ht="15" hidden="false" customHeight="false" outlineLevel="0" collapsed="false">
      <c r="A315" s="27" t="n">
        <f aca="false">IF(286&lt;=$B$11*12,286,"")</f>
        <v>286</v>
      </c>
      <c r="B315" s="28" t="n">
        <f aca="true">IF(286&lt;=$B$11*12,DATE(YEAR(TODAY()),MONTH(TODAY())+286,1),"")</f>
        <v>54820</v>
      </c>
      <c r="C315" s="29" t="n">
        <f aca="false">IF(286&lt;=$B$11*12,G314,"")</f>
        <v>39134.8346812064</v>
      </c>
      <c r="D315" s="29" t="n">
        <f aca="false">IF(AND(286&lt;=$B$11*12,G314&gt;0),MIN($B$22,C315*(1+$B$18)),"")</f>
        <v>2695.71580825401</v>
      </c>
      <c r="E315" s="29" t="n">
        <f aca="false">IF(AND(286&lt;=$B$11*12,G314&gt;0),C315*$B$18,"")</f>
        <v>161.069261982664</v>
      </c>
      <c r="F315" s="29" t="n">
        <f aca="false">IF(AND(286&lt;=$B$11*12,G314&gt;0),D315-E315,"")</f>
        <v>2534.64654627134</v>
      </c>
      <c r="G315" s="29" t="n">
        <f aca="false">IF(AND(286&lt;=$B$11*12,G314&gt;0),MAX(C315-F315,0),"")</f>
        <v>36600.1881349351</v>
      </c>
    </row>
    <row r="316" customFormat="false" ht="15" hidden="false" customHeight="false" outlineLevel="0" collapsed="false">
      <c r="A316" s="24" t="n">
        <f aca="false">IF(287&lt;=$B$11*12,287,"")</f>
        <v>287</v>
      </c>
      <c r="B316" s="25" t="n">
        <f aca="true">IF(287&lt;=$B$11*12,DATE(YEAR(TODAY()),MONTH(TODAY())+287,1),"")</f>
        <v>54848</v>
      </c>
      <c r="C316" s="26" t="n">
        <f aca="false">IF(287&lt;=$B$11*12,G315,"")</f>
        <v>36600.1881349351</v>
      </c>
      <c r="D316" s="26" t="n">
        <f aca="false">IF(AND(287&lt;=$B$11*12,G315&gt;0),MIN($B$22,C316*(1+$B$18)),"")</f>
        <v>2695.71580825401</v>
      </c>
      <c r="E316" s="26" t="n">
        <f aca="false">IF(AND(287&lt;=$B$11*12,G315&gt;0),C316*$B$18,"")</f>
        <v>150.637286175931</v>
      </c>
      <c r="F316" s="26" t="n">
        <f aca="false">IF(AND(287&lt;=$B$11*12,G315&gt;0),D316-E316,"")</f>
        <v>2545.07852207808</v>
      </c>
      <c r="G316" s="26" t="n">
        <f aca="false">IF(AND(287&lt;=$B$11*12,G315&gt;0),MAX(C316-F316,0),"")</f>
        <v>34055.109612857</v>
      </c>
    </row>
    <row r="317" customFormat="false" ht="15" hidden="false" customHeight="false" outlineLevel="0" collapsed="false">
      <c r="A317" s="27" t="n">
        <f aca="false">IF(288&lt;=$B$11*12,288,"")</f>
        <v>288</v>
      </c>
      <c r="B317" s="28" t="n">
        <f aca="true">IF(288&lt;=$B$11*12,DATE(YEAR(TODAY()),MONTH(TODAY())+288,1),"")</f>
        <v>54879</v>
      </c>
      <c r="C317" s="29" t="n">
        <f aca="false">IF(288&lt;=$B$11*12,G316,"")</f>
        <v>34055.109612857</v>
      </c>
      <c r="D317" s="29" t="n">
        <f aca="false">IF(AND(288&lt;=$B$11*12,G316&gt;0),MIN($B$22,C317*(1+$B$18)),"")</f>
        <v>2695.71580825401</v>
      </c>
      <c r="E317" s="29" t="n">
        <f aca="false">IF(AND(288&lt;=$B$11*12,G316&gt;0),C317*$B$18,"")</f>
        <v>140.16237494714</v>
      </c>
      <c r="F317" s="29" t="n">
        <f aca="false">IF(AND(288&lt;=$B$11*12,G316&gt;0),D317-E317,"")</f>
        <v>2555.55343330687</v>
      </c>
      <c r="G317" s="29" t="n">
        <f aca="false">IF(AND(288&lt;=$B$11*12,G316&gt;0),MAX(C317-F317,0),"")</f>
        <v>31499.5561795501</v>
      </c>
    </row>
    <row r="318" customFormat="false" ht="15" hidden="false" customHeight="false" outlineLevel="0" collapsed="false">
      <c r="A318" s="24" t="n">
        <f aca="false">IF(289&lt;=$B$11*12,289,"")</f>
        <v>289</v>
      </c>
      <c r="B318" s="25" t="n">
        <f aca="true">IF(289&lt;=$B$11*12,DATE(YEAR(TODAY()),MONTH(TODAY())+289,1),"")</f>
        <v>54909</v>
      </c>
      <c r="C318" s="26" t="n">
        <f aca="false">IF(289&lt;=$B$11*12,G317,"")</f>
        <v>31499.5561795501</v>
      </c>
      <c r="D318" s="26" t="n">
        <f aca="false">IF(AND(289&lt;=$B$11*12,G317&gt;0),MIN($B$22,C318*(1+$B$18)),"")</f>
        <v>2695.71580825401</v>
      </c>
      <c r="E318" s="26" t="n">
        <f aca="false">IF(AND(289&lt;=$B$11*12,G317&gt;0),C318*$B$18,"")</f>
        <v>129.644351584755</v>
      </c>
      <c r="F318" s="26" t="n">
        <f aca="false">IF(AND(289&lt;=$B$11*12,G317&gt;0),D318-E318,"")</f>
        <v>2566.07145666925</v>
      </c>
      <c r="G318" s="26" t="n">
        <f aca="false">IF(AND(289&lt;=$B$11*12,G317&gt;0),MAX(C318-F318,0),"")</f>
        <v>28933.4847228809</v>
      </c>
    </row>
    <row r="319" customFormat="false" ht="15" hidden="false" customHeight="false" outlineLevel="0" collapsed="false">
      <c r="A319" s="27" t="n">
        <f aca="false">IF(290&lt;=$B$11*12,290,"")</f>
        <v>290</v>
      </c>
      <c r="B319" s="28" t="n">
        <f aca="true">IF(290&lt;=$B$11*12,DATE(YEAR(TODAY()),MONTH(TODAY())+290,1),"")</f>
        <v>54940</v>
      </c>
      <c r="C319" s="29" t="n">
        <f aca="false">IF(290&lt;=$B$11*12,G318,"")</f>
        <v>28933.4847228809</v>
      </c>
      <c r="D319" s="29" t="n">
        <f aca="false">IF(AND(290&lt;=$B$11*12,G318&gt;0),MIN($B$22,C319*(1+$B$18)),"")</f>
        <v>2695.71580825401</v>
      </c>
      <c r="E319" s="29" t="n">
        <f aca="false">IF(AND(290&lt;=$B$11*12,G318&gt;0),C319*$B$18,"")</f>
        <v>119.08303864994</v>
      </c>
      <c r="F319" s="29" t="n">
        <f aca="false">IF(AND(290&lt;=$B$11*12,G318&gt;0),D319-E319,"")</f>
        <v>2576.63276960407</v>
      </c>
      <c r="G319" s="29" t="n">
        <f aca="false">IF(AND(290&lt;=$B$11*12,G318&gt;0),MAX(C319-F319,0),"")</f>
        <v>26356.8519532768</v>
      </c>
    </row>
    <row r="320" customFormat="false" ht="15" hidden="false" customHeight="false" outlineLevel="0" collapsed="false">
      <c r="A320" s="24" t="n">
        <f aca="false">IF(291&lt;=$B$11*12,291,"")</f>
        <v>291</v>
      </c>
      <c r="B320" s="25" t="n">
        <f aca="true">IF(291&lt;=$B$11*12,DATE(YEAR(TODAY()),MONTH(TODAY())+291,1),"")</f>
        <v>54970</v>
      </c>
      <c r="C320" s="26" t="n">
        <f aca="false">IF(291&lt;=$B$11*12,G319,"")</f>
        <v>26356.8519532768</v>
      </c>
      <c r="D320" s="26" t="n">
        <f aca="false">IF(AND(291&lt;=$B$11*12,G319&gt;0),MIN($B$22,C320*(1+$B$18)),"")</f>
        <v>2695.71580825401</v>
      </c>
      <c r="E320" s="26" t="n">
        <f aca="false">IF(AND(291&lt;=$B$11*12,G319&gt;0),C320*$B$18,"")</f>
        <v>108.478257973562</v>
      </c>
      <c r="F320" s="26" t="n">
        <f aca="false">IF(AND(291&lt;=$B$11*12,G319&gt;0),D320-E320,"")</f>
        <v>2587.23755028045</v>
      </c>
      <c r="G320" s="26" t="n">
        <f aca="false">IF(AND(291&lt;=$B$11*12,G319&gt;0),MAX(C320-F320,0),"")</f>
        <v>23769.6144029964</v>
      </c>
    </row>
    <row r="321" customFormat="false" ht="15" hidden="false" customHeight="false" outlineLevel="0" collapsed="false">
      <c r="A321" s="27" t="n">
        <f aca="false">IF(292&lt;=$B$11*12,292,"")</f>
        <v>292</v>
      </c>
      <c r="B321" s="28" t="n">
        <f aca="true">IF(292&lt;=$B$11*12,DATE(YEAR(TODAY()),MONTH(TODAY())+292,1),"")</f>
        <v>55001</v>
      </c>
      <c r="C321" s="29" t="n">
        <f aca="false">IF(292&lt;=$B$11*12,G320,"")</f>
        <v>23769.6144029964</v>
      </c>
      <c r="D321" s="29" t="n">
        <f aca="false">IF(AND(292&lt;=$B$11*12,G320&gt;0),MIN($B$22,C321*(1+$B$18)),"")</f>
        <v>2695.71580825401</v>
      </c>
      <c r="E321" s="29" t="n">
        <f aca="false">IF(AND(292&lt;=$B$11*12,G320&gt;0),C321*$B$18,"")</f>
        <v>97.8298306531928</v>
      </c>
      <c r="F321" s="29" t="n">
        <f aca="false">IF(AND(292&lt;=$B$11*12,G320&gt;0),D321-E321,"")</f>
        <v>2597.88597760082</v>
      </c>
      <c r="G321" s="29" t="n">
        <f aca="false">IF(AND(292&lt;=$B$11*12,G320&gt;0),MAX(C321-F321,0),"")</f>
        <v>21171.7284253955</v>
      </c>
    </row>
    <row r="322" customFormat="false" ht="15" hidden="false" customHeight="false" outlineLevel="0" collapsed="false">
      <c r="A322" s="24" t="n">
        <f aca="false">IF(293&lt;=$B$11*12,293,"")</f>
        <v>293</v>
      </c>
      <c r="B322" s="25" t="n">
        <f aca="true">IF(293&lt;=$B$11*12,DATE(YEAR(TODAY()),MONTH(TODAY())+293,1),"")</f>
        <v>55032</v>
      </c>
      <c r="C322" s="26" t="n">
        <f aca="false">IF(293&lt;=$B$11*12,G321,"")</f>
        <v>21171.7284253955</v>
      </c>
      <c r="D322" s="26" t="n">
        <f aca="false">IF(AND(293&lt;=$B$11*12,G321&gt;0),MIN($B$22,C322*(1+$B$18)),"")</f>
        <v>2695.71580825401</v>
      </c>
      <c r="E322" s="26" t="n">
        <f aca="false">IF(AND(293&lt;=$B$11*12,G321&gt;0),C322*$B$18,"")</f>
        <v>87.137577050082</v>
      </c>
      <c r="F322" s="26" t="n">
        <f aca="false">IF(AND(293&lt;=$B$11*12,G321&gt;0),D322-E322,"")</f>
        <v>2608.57823120393</v>
      </c>
      <c r="G322" s="26" t="n">
        <f aca="false">IF(AND(293&lt;=$B$11*12,G321&gt;0),MAX(C322-F322,0),"")</f>
        <v>18563.1501941916</v>
      </c>
    </row>
    <row r="323" customFormat="false" ht="15" hidden="false" customHeight="false" outlineLevel="0" collapsed="false">
      <c r="A323" s="27" t="n">
        <f aca="false">IF(294&lt;=$B$11*12,294,"")</f>
        <v>294</v>
      </c>
      <c r="B323" s="28" t="n">
        <f aca="true">IF(294&lt;=$B$11*12,DATE(YEAR(TODAY()),MONTH(TODAY())+294,1),"")</f>
        <v>55062</v>
      </c>
      <c r="C323" s="29" t="n">
        <f aca="false">IF(294&lt;=$B$11*12,G322,"")</f>
        <v>18563.1501941916</v>
      </c>
      <c r="D323" s="29" t="n">
        <f aca="false">IF(AND(294&lt;=$B$11*12,G322&gt;0),MIN($B$22,C323*(1+$B$18)),"")</f>
        <v>2695.71580825401</v>
      </c>
      <c r="E323" s="29" t="n">
        <f aca="false">IF(AND(294&lt;=$B$11*12,G322&gt;0),C323*$B$18,"")</f>
        <v>76.4013167861328</v>
      </c>
      <c r="F323" s="29" t="n">
        <f aca="false">IF(AND(294&lt;=$B$11*12,G322&gt;0),D323-E323,"")</f>
        <v>2619.31449146788</v>
      </c>
      <c r="G323" s="29" t="n">
        <f aca="false">IF(AND(294&lt;=$B$11*12,G322&gt;0),MAX(C323-F323,0),"")</f>
        <v>15943.8357027237</v>
      </c>
    </row>
    <row r="324" customFormat="false" ht="15" hidden="false" customHeight="false" outlineLevel="0" collapsed="false">
      <c r="A324" s="24" t="n">
        <f aca="false">IF(295&lt;=$B$11*12,295,"")</f>
        <v>295</v>
      </c>
      <c r="B324" s="25" t="n">
        <f aca="true">IF(295&lt;=$B$11*12,DATE(YEAR(TODAY()),MONTH(TODAY())+295,1),"")</f>
        <v>55093</v>
      </c>
      <c r="C324" s="26" t="n">
        <f aca="false">IF(295&lt;=$B$11*12,G323,"")</f>
        <v>15943.8357027237</v>
      </c>
      <c r="D324" s="26" t="n">
        <f aca="false">IF(AND(295&lt;=$B$11*12,G323&gt;0),MIN($B$22,C324*(1+$B$18)),"")</f>
        <v>2695.71580825401</v>
      </c>
      <c r="E324" s="26" t="n">
        <f aca="false">IF(AND(295&lt;=$B$11*12,G323&gt;0),C324*$B$18,"")</f>
        <v>65.6208687408564</v>
      </c>
      <c r="F324" s="26" t="n">
        <f aca="false">IF(AND(295&lt;=$B$11*12,G323&gt;0),D324-E324,"")</f>
        <v>2630.09493951315</v>
      </c>
      <c r="G324" s="26" t="n">
        <f aca="false">IF(AND(295&lt;=$B$11*12,G323&gt;0),MAX(C324-F324,0),"")</f>
        <v>13313.7407632106</v>
      </c>
    </row>
    <row r="325" customFormat="false" ht="15" hidden="false" customHeight="false" outlineLevel="0" collapsed="false">
      <c r="A325" s="27" t="n">
        <f aca="false">IF(296&lt;=$B$11*12,296,"")</f>
        <v>296</v>
      </c>
      <c r="B325" s="28" t="n">
        <f aca="true">IF(296&lt;=$B$11*12,DATE(YEAR(TODAY()),MONTH(TODAY())+296,1),"")</f>
        <v>55123</v>
      </c>
      <c r="C325" s="29" t="n">
        <f aca="false">IF(296&lt;=$B$11*12,G324,"")</f>
        <v>13313.7407632106</v>
      </c>
      <c r="D325" s="29" t="n">
        <f aca="false">IF(AND(296&lt;=$B$11*12,G324&gt;0),MIN($B$22,C325*(1+$B$18)),"")</f>
        <v>2695.71580825401</v>
      </c>
      <c r="E325" s="29" t="n">
        <f aca="false">IF(AND(296&lt;=$B$11*12,G324&gt;0),C325*$B$18,"")</f>
        <v>54.7960510483171</v>
      </c>
      <c r="F325" s="29" t="n">
        <f aca="false">IF(AND(296&lt;=$B$11*12,G324&gt;0),D325-E325,"")</f>
        <v>2640.91975720569</v>
      </c>
      <c r="G325" s="29" t="n">
        <f aca="false">IF(AND(296&lt;=$B$11*12,G324&gt;0),MAX(C325-F325,0),"")</f>
        <v>10672.8210060049</v>
      </c>
    </row>
    <row r="326" customFormat="false" ht="15" hidden="false" customHeight="false" outlineLevel="0" collapsed="false">
      <c r="A326" s="24" t="n">
        <f aca="false">IF(297&lt;=$B$11*12,297,"")</f>
        <v>297</v>
      </c>
      <c r="B326" s="25" t="n">
        <f aca="true">IF(297&lt;=$B$11*12,DATE(YEAR(TODAY()),MONTH(TODAY())+297,1),"")</f>
        <v>55154</v>
      </c>
      <c r="C326" s="26" t="n">
        <f aca="false">IF(297&lt;=$B$11*12,G325,"")</f>
        <v>10672.8210060049</v>
      </c>
      <c r="D326" s="26" t="n">
        <f aca="false">IF(AND(297&lt;=$B$11*12,G325&gt;0),MIN($B$22,C326*(1+$B$18)),"")</f>
        <v>2695.71580825401</v>
      </c>
      <c r="E326" s="26" t="n">
        <f aca="false">IF(AND(297&lt;=$B$11*12,G325&gt;0),C326*$B$18,"")</f>
        <v>43.9266810940643</v>
      </c>
      <c r="F326" s="26" t="n">
        <f aca="false">IF(AND(297&lt;=$B$11*12,G325&gt;0),D326-E326,"")</f>
        <v>2651.78912715994</v>
      </c>
      <c r="G326" s="26" t="n">
        <f aca="false">IF(AND(297&lt;=$B$11*12,G325&gt;0),MAX(C326-F326,0),"")</f>
        <v>8021.03187884495</v>
      </c>
    </row>
    <row r="327" customFormat="false" ht="15" hidden="false" customHeight="false" outlineLevel="0" collapsed="false">
      <c r="A327" s="27" t="n">
        <f aca="false">IF(298&lt;=$B$11*12,298,"")</f>
        <v>298</v>
      </c>
      <c r="B327" s="28" t="n">
        <f aca="true">IF(298&lt;=$B$11*12,DATE(YEAR(TODAY()),MONTH(TODAY())+298,1),"")</f>
        <v>55185</v>
      </c>
      <c r="C327" s="29" t="n">
        <f aca="false">IF(298&lt;=$B$11*12,G326,"")</f>
        <v>8021.03187884495</v>
      </c>
      <c r="D327" s="29" t="n">
        <f aca="false">IF(AND(298&lt;=$B$11*12,G326&gt;0),MIN($B$22,C327*(1+$B$18)),"")</f>
        <v>2695.71580825401</v>
      </c>
      <c r="E327" s="29" t="n">
        <f aca="false">IF(AND(298&lt;=$B$11*12,G326&gt;0),C327*$B$18,"")</f>
        <v>33.0125755120514</v>
      </c>
      <c r="F327" s="29" t="n">
        <f aca="false">IF(AND(298&lt;=$B$11*12,G326&gt;0),D327-E327,"")</f>
        <v>2662.70323274196</v>
      </c>
      <c r="G327" s="29" t="n">
        <f aca="false">IF(AND(298&lt;=$B$11*12,G326&gt;0),MAX(C327-F327,0),"")</f>
        <v>5358.32864610299</v>
      </c>
    </row>
    <row r="328" customFormat="false" ht="15" hidden="false" customHeight="false" outlineLevel="0" collapsed="false">
      <c r="A328" s="24" t="n">
        <f aca="false">IF(299&lt;=$B$11*12,299,"")</f>
        <v>299</v>
      </c>
      <c r="B328" s="25" t="n">
        <f aca="true">IF(299&lt;=$B$11*12,DATE(YEAR(TODAY()),MONTH(TODAY())+299,1),"")</f>
        <v>55213</v>
      </c>
      <c r="C328" s="26" t="n">
        <f aca="false">IF(299&lt;=$B$11*12,G327,"")</f>
        <v>5358.32864610299</v>
      </c>
      <c r="D328" s="26" t="n">
        <f aca="false">IF(AND(299&lt;=$B$11*12,G327&gt;0),MIN($B$22,C328*(1+$B$18)),"")</f>
        <v>2695.71580825401</v>
      </c>
      <c r="E328" s="26" t="n">
        <f aca="false">IF(AND(299&lt;=$B$11*12,G327&gt;0),C328*$B$18,"")</f>
        <v>22.053550181543</v>
      </c>
      <c r="F328" s="26" t="n">
        <f aca="false">IF(AND(299&lt;=$B$11*12,G327&gt;0),D328-E328,"")</f>
        <v>2673.66225807247</v>
      </c>
      <c r="G328" s="26" t="n">
        <f aca="false">IF(AND(299&lt;=$B$11*12,G327&gt;0),MAX(C328-F328,0),"")</f>
        <v>2684.66638803053</v>
      </c>
    </row>
    <row r="329" customFormat="false" ht="15" hidden="false" customHeight="false" outlineLevel="0" collapsed="false">
      <c r="A329" s="27" t="n">
        <f aca="false">IF(300&lt;=$B$11*12,300,"")</f>
        <v>300</v>
      </c>
      <c r="B329" s="28" t="n">
        <f aca="true">IF(300&lt;=$B$11*12,DATE(YEAR(TODAY()),MONTH(TODAY())+300,1),"")</f>
        <v>55244</v>
      </c>
      <c r="C329" s="29" t="n">
        <f aca="false">IF(300&lt;=$B$11*12,G328,"")</f>
        <v>2684.66638803053</v>
      </c>
      <c r="D329" s="29" t="n">
        <f aca="false">IF(AND(300&lt;=$B$11*12,G328&gt;0),MIN($B$22,C329*(1+$B$18)),"")</f>
        <v>2695.71580825401</v>
      </c>
      <c r="E329" s="29" t="n">
        <f aca="false">IF(AND(300&lt;=$B$11*12,G328&gt;0),C329*$B$18,"")</f>
        <v>11.0494202240082</v>
      </c>
      <c r="F329" s="29" t="n">
        <f aca="false">IF(AND(300&lt;=$B$11*12,G328&gt;0),D329-E329,"")</f>
        <v>2684.66638803</v>
      </c>
      <c r="G329" s="29" t="n">
        <f aca="false">IF(AND(300&lt;=$B$11*12,G328&gt;0),MAX(C329-F329,0),"")</f>
        <v>5.26142684975639E-010</v>
      </c>
    </row>
    <row r="330" customFormat="false" ht="15" hidden="false" customHeight="false" outlineLevel="0" collapsed="false">
      <c r="A330" s="24" t="str">
        <f aca="false">IF(301&lt;=$B$11*12,301,"")</f>
        <v/>
      </c>
      <c r="B330" s="25" t="str">
        <f aca="true">IF(301&lt;=$B$11*12,DATE(YEAR(TODAY()),MONTH(TODAY())+301,1),"")</f>
        <v/>
      </c>
      <c r="C330" s="26" t="str">
        <f aca="false">IF(301&lt;=$B$11*12,G329,"")</f>
        <v/>
      </c>
      <c r="D330" s="26" t="str">
        <f aca="false">IF(AND(301&lt;=$B$11*12,G329&gt;0),MIN($B$22,C330*(1+$B$18)),"")</f>
        <v/>
      </c>
      <c r="E330" s="26" t="str">
        <f aca="false">IF(AND(301&lt;=$B$11*12,G329&gt;0),C330*$B$18,"")</f>
        <v/>
      </c>
      <c r="F330" s="26" t="str">
        <f aca="false">IF(AND(301&lt;=$B$11*12,G329&gt;0),D330-E330,"")</f>
        <v/>
      </c>
      <c r="G330" s="26" t="str">
        <f aca="false">IF(AND(301&lt;=$B$11*12,G329&gt;0),MAX(C330-F330,0),"")</f>
        <v/>
      </c>
    </row>
    <row r="331" customFormat="false" ht="15" hidden="false" customHeight="false" outlineLevel="0" collapsed="false">
      <c r="A331" s="27" t="str">
        <f aca="false">IF(302&lt;=$B$11*12,302,"")</f>
        <v/>
      </c>
      <c r="B331" s="28" t="str">
        <f aca="true">IF(302&lt;=$B$11*12,DATE(YEAR(TODAY()),MONTH(TODAY())+302,1),"")</f>
        <v/>
      </c>
      <c r="C331" s="29" t="str">
        <f aca="false">IF(302&lt;=$B$11*12,G330,"")</f>
        <v/>
      </c>
      <c r="D331" s="29" t="str">
        <f aca="false">IF(AND(302&lt;=$B$11*12,G330&gt;0),MIN($B$22,C331*(1+$B$18)),"")</f>
        <v/>
      </c>
      <c r="E331" s="29" t="str">
        <f aca="false">IF(AND(302&lt;=$B$11*12,G330&gt;0),C331*$B$18,"")</f>
        <v/>
      </c>
      <c r="F331" s="29" t="str">
        <f aca="false">IF(AND(302&lt;=$B$11*12,G330&gt;0),D331-E331,"")</f>
        <v/>
      </c>
      <c r="G331" s="29" t="str">
        <f aca="false">IF(AND(302&lt;=$B$11*12,G330&gt;0),MAX(C331-F331,0),"")</f>
        <v/>
      </c>
    </row>
    <row r="332" customFormat="false" ht="15" hidden="false" customHeight="false" outlineLevel="0" collapsed="false">
      <c r="A332" s="24" t="str">
        <f aca="false">IF(303&lt;=$B$11*12,303,"")</f>
        <v/>
      </c>
      <c r="B332" s="25" t="str">
        <f aca="true">IF(303&lt;=$B$11*12,DATE(YEAR(TODAY()),MONTH(TODAY())+303,1),"")</f>
        <v/>
      </c>
      <c r="C332" s="26" t="str">
        <f aca="false">IF(303&lt;=$B$11*12,G331,"")</f>
        <v/>
      </c>
      <c r="D332" s="26" t="str">
        <f aca="false">IF(AND(303&lt;=$B$11*12,G331&gt;0),MIN($B$22,C332*(1+$B$18)),"")</f>
        <v/>
      </c>
      <c r="E332" s="26" t="str">
        <f aca="false">IF(AND(303&lt;=$B$11*12,G331&gt;0),C332*$B$18,"")</f>
        <v/>
      </c>
      <c r="F332" s="26" t="str">
        <f aca="false">IF(AND(303&lt;=$B$11*12,G331&gt;0),D332-E332,"")</f>
        <v/>
      </c>
      <c r="G332" s="26" t="str">
        <f aca="false">IF(AND(303&lt;=$B$11*12,G331&gt;0),MAX(C332-F332,0),"")</f>
        <v/>
      </c>
    </row>
    <row r="333" customFormat="false" ht="15" hidden="false" customHeight="false" outlineLevel="0" collapsed="false">
      <c r="A333" s="27" t="str">
        <f aca="false">IF(304&lt;=$B$11*12,304,"")</f>
        <v/>
      </c>
      <c r="B333" s="28" t="str">
        <f aca="true">IF(304&lt;=$B$11*12,DATE(YEAR(TODAY()),MONTH(TODAY())+304,1),"")</f>
        <v/>
      </c>
      <c r="C333" s="29" t="str">
        <f aca="false">IF(304&lt;=$B$11*12,G332,"")</f>
        <v/>
      </c>
      <c r="D333" s="29" t="str">
        <f aca="false">IF(AND(304&lt;=$B$11*12,G332&gt;0),MIN($B$22,C333*(1+$B$18)),"")</f>
        <v/>
      </c>
      <c r="E333" s="29" t="str">
        <f aca="false">IF(AND(304&lt;=$B$11*12,G332&gt;0),C333*$B$18,"")</f>
        <v/>
      </c>
      <c r="F333" s="29" t="str">
        <f aca="false">IF(AND(304&lt;=$B$11*12,G332&gt;0),D333-E333,"")</f>
        <v/>
      </c>
      <c r="G333" s="29" t="str">
        <f aca="false">IF(AND(304&lt;=$B$11*12,G332&gt;0),MAX(C333-F333,0),"")</f>
        <v/>
      </c>
    </row>
    <row r="334" customFormat="false" ht="15" hidden="false" customHeight="false" outlineLevel="0" collapsed="false">
      <c r="A334" s="24" t="str">
        <f aca="false">IF(305&lt;=$B$11*12,305,"")</f>
        <v/>
      </c>
      <c r="B334" s="25" t="str">
        <f aca="true">IF(305&lt;=$B$11*12,DATE(YEAR(TODAY()),MONTH(TODAY())+305,1),"")</f>
        <v/>
      </c>
      <c r="C334" s="26" t="str">
        <f aca="false">IF(305&lt;=$B$11*12,G333,"")</f>
        <v/>
      </c>
      <c r="D334" s="26" t="str">
        <f aca="false">IF(AND(305&lt;=$B$11*12,G333&gt;0),MIN($B$22,C334*(1+$B$18)),"")</f>
        <v/>
      </c>
      <c r="E334" s="26" t="str">
        <f aca="false">IF(AND(305&lt;=$B$11*12,G333&gt;0),C334*$B$18,"")</f>
        <v/>
      </c>
      <c r="F334" s="26" t="str">
        <f aca="false">IF(AND(305&lt;=$B$11*12,G333&gt;0),D334-E334,"")</f>
        <v/>
      </c>
      <c r="G334" s="26" t="str">
        <f aca="false">IF(AND(305&lt;=$B$11*12,G333&gt;0),MAX(C334-F334,0),"")</f>
        <v/>
      </c>
    </row>
    <row r="335" customFormat="false" ht="15" hidden="false" customHeight="false" outlineLevel="0" collapsed="false">
      <c r="A335" s="27" t="str">
        <f aca="false">IF(306&lt;=$B$11*12,306,"")</f>
        <v/>
      </c>
      <c r="B335" s="28" t="str">
        <f aca="true">IF(306&lt;=$B$11*12,DATE(YEAR(TODAY()),MONTH(TODAY())+306,1),"")</f>
        <v/>
      </c>
      <c r="C335" s="29" t="str">
        <f aca="false">IF(306&lt;=$B$11*12,G334,"")</f>
        <v/>
      </c>
      <c r="D335" s="29" t="str">
        <f aca="false">IF(AND(306&lt;=$B$11*12,G334&gt;0),MIN($B$22,C335*(1+$B$18)),"")</f>
        <v/>
      </c>
      <c r="E335" s="29" t="str">
        <f aca="false">IF(AND(306&lt;=$B$11*12,G334&gt;0),C335*$B$18,"")</f>
        <v/>
      </c>
      <c r="F335" s="29" t="str">
        <f aca="false">IF(AND(306&lt;=$B$11*12,G334&gt;0),D335-E335,"")</f>
        <v/>
      </c>
      <c r="G335" s="29" t="str">
        <f aca="false">IF(AND(306&lt;=$B$11*12,G334&gt;0),MAX(C335-F335,0),"")</f>
        <v/>
      </c>
    </row>
    <row r="336" customFormat="false" ht="15" hidden="false" customHeight="false" outlineLevel="0" collapsed="false">
      <c r="A336" s="24" t="str">
        <f aca="false">IF(307&lt;=$B$11*12,307,"")</f>
        <v/>
      </c>
      <c r="B336" s="25" t="str">
        <f aca="true">IF(307&lt;=$B$11*12,DATE(YEAR(TODAY()),MONTH(TODAY())+307,1),"")</f>
        <v/>
      </c>
      <c r="C336" s="26" t="str">
        <f aca="false">IF(307&lt;=$B$11*12,G335,"")</f>
        <v/>
      </c>
      <c r="D336" s="26" t="str">
        <f aca="false">IF(AND(307&lt;=$B$11*12,G335&gt;0),MIN($B$22,C336*(1+$B$18)),"")</f>
        <v/>
      </c>
      <c r="E336" s="26" t="str">
        <f aca="false">IF(AND(307&lt;=$B$11*12,G335&gt;0),C336*$B$18,"")</f>
        <v/>
      </c>
      <c r="F336" s="26" t="str">
        <f aca="false">IF(AND(307&lt;=$B$11*12,G335&gt;0),D336-E336,"")</f>
        <v/>
      </c>
      <c r="G336" s="26" t="str">
        <f aca="false">IF(AND(307&lt;=$B$11*12,G335&gt;0),MAX(C336-F336,0),"")</f>
        <v/>
      </c>
    </row>
    <row r="337" customFormat="false" ht="15" hidden="false" customHeight="false" outlineLevel="0" collapsed="false">
      <c r="A337" s="27" t="str">
        <f aca="false">IF(308&lt;=$B$11*12,308,"")</f>
        <v/>
      </c>
      <c r="B337" s="28" t="str">
        <f aca="true">IF(308&lt;=$B$11*12,DATE(YEAR(TODAY()),MONTH(TODAY())+308,1),"")</f>
        <v/>
      </c>
      <c r="C337" s="29" t="str">
        <f aca="false">IF(308&lt;=$B$11*12,G336,"")</f>
        <v/>
      </c>
      <c r="D337" s="29" t="str">
        <f aca="false">IF(AND(308&lt;=$B$11*12,G336&gt;0),MIN($B$22,C337*(1+$B$18)),"")</f>
        <v/>
      </c>
      <c r="E337" s="29" t="str">
        <f aca="false">IF(AND(308&lt;=$B$11*12,G336&gt;0),C337*$B$18,"")</f>
        <v/>
      </c>
      <c r="F337" s="29" t="str">
        <f aca="false">IF(AND(308&lt;=$B$11*12,G336&gt;0),D337-E337,"")</f>
        <v/>
      </c>
      <c r="G337" s="29" t="str">
        <f aca="false">IF(AND(308&lt;=$B$11*12,G336&gt;0),MAX(C337-F337,0),"")</f>
        <v/>
      </c>
    </row>
    <row r="338" customFormat="false" ht="15" hidden="false" customHeight="false" outlineLevel="0" collapsed="false">
      <c r="A338" s="24" t="str">
        <f aca="false">IF(309&lt;=$B$11*12,309,"")</f>
        <v/>
      </c>
      <c r="B338" s="25" t="str">
        <f aca="true">IF(309&lt;=$B$11*12,DATE(YEAR(TODAY()),MONTH(TODAY())+309,1),"")</f>
        <v/>
      </c>
      <c r="C338" s="26" t="str">
        <f aca="false">IF(309&lt;=$B$11*12,G337,"")</f>
        <v/>
      </c>
      <c r="D338" s="26" t="str">
        <f aca="false">IF(AND(309&lt;=$B$11*12,G337&gt;0),MIN($B$22,C338*(1+$B$18)),"")</f>
        <v/>
      </c>
      <c r="E338" s="26" t="str">
        <f aca="false">IF(AND(309&lt;=$B$11*12,G337&gt;0),C338*$B$18,"")</f>
        <v/>
      </c>
      <c r="F338" s="26" t="str">
        <f aca="false">IF(AND(309&lt;=$B$11*12,G337&gt;0),D338-E338,"")</f>
        <v/>
      </c>
      <c r="G338" s="26" t="str">
        <f aca="false">IF(AND(309&lt;=$B$11*12,G337&gt;0),MAX(C338-F338,0),"")</f>
        <v/>
      </c>
    </row>
    <row r="339" customFormat="false" ht="15" hidden="false" customHeight="false" outlineLevel="0" collapsed="false">
      <c r="A339" s="27" t="str">
        <f aca="false">IF(310&lt;=$B$11*12,310,"")</f>
        <v/>
      </c>
      <c r="B339" s="28" t="str">
        <f aca="true">IF(310&lt;=$B$11*12,DATE(YEAR(TODAY()),MONTH(TODAY())+310,1),"")</f>
        <v/>
      </c>
      <c r="C339" s="29" t="str">
        <f aca="false">IF(310&lt;=$B$11*12,G338,"")</f>
        <v/>
      </c>
      <c r="D339" s="29" t="str">
        <f aca="false">IF(AND(310&lt;=$B$11*12,G338&gt;0),MIN($B$22,C339*(1+$B$18)),"")</f>
        <v/>
      </c>
      <c r="E339" s="29" t="str">
        <f aca="false">IF(AND(310&lt;=$B$11*12,G338&gt;0),C339*$B$18,"")</f>
        <v/>
      </c>
      <c r="F339" s="29" t="str">
        <f aca="false">IF(AND(310&lt;=$B$11*12,G338&gt;0),D339-E339,"")</f>
        <v/>
      </c>
      <c r="G339" s="29" t="str">
        <f aca="false">IF(AND(310&lt;=$B$11*12,G338&gt;0),MAX(C339-F339,0),"")</f>
        <v/>
      </c>
    </row>
    <row r="340" customFormat="false" ht="15" hidden="false" customHeight="false" outlineLevel="0" collapsed="false">
      <c r="A340" s="24" t="str">
        <f aca="false">IF(311&lt;=$B$11*12,311,"")</f>
        <v/>
      </c>
      <c r="B340" s="25" t="str">
        <f aca="true">IF(311&lt;=$B$11*12,DATE(YEAR(TODAY()),MONTH(TODAY())+311,1),"")</f>
        <v/>
      </c>
      <c r="C340" s="26" t="str">
        <f aca="false">IF(311&lt;=$B$11*12,G339,"")</f>
        <v/>
      </c>
      <c r="D340" s="26" t="str">
        <f aca="false">IF(AND(311&lt;=$B$11*12,G339&gt;0),MIN($B$22,C340*(1+$B$18)),"")</f>
        <v/>
      </c>
      <c r="E340" s="26" t="str">
        <f aca="false">IF(AND(311&lt;=$B$11*12,G339&gt;0),C340*$B$18,"")</f>
        <v/>
      </c>
      <c r="F340" s="26" t="str">
        <f aca="false">IF(AND(311&lt;=$B$11*12,G339&gt;0),D340-E340,"")</f>
        <v/>
      </c>
      <c r="G340" s="26" t="str">
        <f aca="false">IF(AND(311&lt;=$B$11*12,G339&gt;0),MAX(C340-F340,0),"")</f>
        <v/>
      </c>
    </row>
    <row r="341" customFormat="false" ht="15" hidden="false" customHeight="false" outlineLevel="0" collapsed="false">
      <c r="A341" s="27" t="str">
        <f aca="false">IF(312&lt;=$B$11*12,312,"")</f>
        <v/>
      </c>
      <c r="B341" s="28" t="str">
        <f aca="true">IF(312&lt;=$B$11*12,DATE(YEAR(TODAY()),MONTH(TODAY())+312,1),"")</f>
        <v/>
      </c>
      <c r="C341" s="29" t="str">
        <f aca="false">IF(312&lt;=$B$11*12,G340,"")</f>
        <v/>
      </c>
      <c r="D341" s="29" t="str">
        <f aca="false">IF(AND(312&lt;=$B$11*12,G340&gt;0),MIN($B$22,C341*(1+$B$18)),"")</f>
        <v/>
      </c>
      <c r="E341" s="29" t="str">
        <f aca="false">IF(AND(312&lt;=$B$11*12,G340&gt;0),C341*$B$18,"")</f>
        <v/>
      </c>
      <c r="F341" s="29" t="str">
        <f aca="false">IF(AND(312&lt;=$B$11*12,G340&gt;0),D341-E341,"")</f>
        <v/>
      </c>
      <c r="G341" s="29" t="str">
        <f aca="false">IF(AND(312&lt;=$B$11*12,G340&gt;0),MAX(C341-F341,0),"")</f>
        <v/>
      </c>
    </row>
    <row r="342" customFormat="false" ht="15" hidden="false" customHeight="false" outlineLevel="0" collapsed="false">
      <c r="A342" s="24" t="str">
        <f aca="false">IF(313&lt;=$B$11*12,313,"")</f>
        <v/>
      </c>
      <c r="B342" s="25" t="str">
        <f aca="true">IF(313&lt;=$B$11*12,DATE(YEAR(TODAY()),MONTH(TODAY())+313,1),"")</f>
        <v/>
      </c>
      <c r="C342" s="26" t="str">
        <f aca="false">IF(313&lt;=$B$11*12,G341,"")</f>
        <v/>
      </c>
      <c r="D342" s="26" t="str">
        <f aca="false">IF(AND(313&lt;=$B$11*12,G341&gt;0),MIN($B$22,C342*(1+$B$18)),"")</f>
        <v/>
      </c>
      <c r="E342" s="26" t="str">
        <f aca="false">IF(AND(313&lt;=$B$11*12,G341&gt;0),C342*$B$18,"")</f>
        <v/>
      </c>
      <c r="F342" s="26" t="str">
        <f aca="false">IF(AND(313&lt;=$B$11*12,G341&gt;0),D342-E342,"")</f>
        <v/>
      </c>
      <c r="G342" s="26" t="str">
        <f aca="false">IF(AND(313&lt;=$B$11*12,G341&gt;0),MAX(C342-F342,0),"")</f>
        <v/>
      </c>
    </row>
    <row r="343" customFormat="false" ht="15" hidden="false" customHeight="false" outlineLevel="0" collapsed="false">
      <c r="A343" s="27" t="str">
        <f aca="false">IF(314&lt;=$B$11*12,314,"")</f>
        <v/>
      </c>
      <c r="B343" s="28" t="str">
        <f aca="true">IF(314&lt;=$B$11*12,DATE(YEAR(TODAY()),MONTH(TODAY())+314,1),"")</f>
        <v/>
      </c>
      <c r="C343" s="29" t="str">
        <f aca="false">IF(314&lt;=$B$11*12,G342,"")</f>
        <v/>
      </c>
      <c r="D343" s="29" t="str">
        <f aca="false">IF(AND(314&lt;=$B$11*12,G342&gt;0),MIN($B$22,C343*(1+$B$18)),"")</f>
        <v/>
      </c>
      <c r="E343" s="29" t="str">
        <f aca="false">IF(AND(314&lt;=$B$11*12,G342&gt;0),C343*$B$18,"")</f>
        <v/>
      </c>
      <c r="F343" s="29" t="str">
        <f aca="false">IF(AND(314&lt;=$B$11*12,G342&gt;0),D343-E343,"")</f>
        <v/>
      </c>
      <c r="G343" s="29" t="str">
        <f aca="false">IF(AND(314&lt;=$B$11*12,G342&gt;0),MAX(C343-F343,0),"")</f>
        <v/>
      </c>
    </row>
    <row r="344" customFormat="false" ht="15" hidden="false" customHeight="false" outlineLevel="0" collapsed="false">
      <c r="A344" s="24" t="str">
        <f aca="false">IF(315&lt;=$B$11*12,315,"")</f>
        <v/>
      </c>
      <c r="B344" s="25" t="str">
        <f aca="true">IF(315&lt;=$B$11*12,DATE(YEAR(TODAY()),MONTH(TODAY())+315,1),"")</f>
        <v/>
      </c>
      <c r="C344" s="26" t="str">
        <f aca="false">IF(315&lt;=$B$11*12,G343,"")</f>
        <v/>
      </c>
      <c r="D344" s="26" t="str">
        <f aca="false">IF(AND(315&lt;=$B$11*12,G343&gt;0),MIN($B$22,C344*(1+$B$18)),"")</f>
        <v/>
      </c>
      <c r="E344" s="26" t="str">
        <f aca="false">IF(AND(315&lt;=$B$11*12,G343&gt;0),C344*$B$18,"")</f>
        <v/>
      </c>
      <c r="F344" s="26" t="str">
        <f aca="false">IF(AND(315&lt;=$B$11*12,G343&gt;0),D344-E344,"")</f>
        <v/>
      </c>
      <c r="G344" s="26" t="str">
        <f aca="false">IF(AND(315&lt;=$B$11*12,G343&gt;0),MAX(C344-F344,0),"")</f>
        <v/>
      </c>
    </row>
    <row r="345" customFormat="false" ht="15" hidden="false" customHeight="false" outlineLevel="0" collapsed="false">
      <c r="A345" s="27" t="str">
        <f aca="false">IF(316&lt;=$B$11*12,316,"")</f>
        <v/>
      </c>
      <c r="B345" s="28" t="str">
        <f aca="true">IF(316&lt;=$B$11*12,DATE(YEAR(TODAY()),MONTH(TODAY())+316,1),"")</f>
        <v/>
      </c>
      <c r="C345" s="29" t="str">
        <f aca="false">IF(316&lt;=$B$11*12,G344,"")</f>
        <v/>
      </c>
      <c r="D345" s="29" t="str">
        <f aca="false">IF(AND(316&lt;=$B$11*12,G344&gt;0),MIN($B$22,C345*(1+$B$18)),"")</f>
        <v/>
      </c>
      <c r="E345" s="29" t="str">
        <f aca="false">IF(AND(316&lt;=$B$11*12,G344&gt;0),C345*$B$18,"")</f>
        <v/>
      </c>
      <c r="F345" s="29" t="str">
        <f aca="false">IF(AND(316&lt;=$B$11*12,G344&gt;0),D345-E345,"")</f>
        <v/>
      </c>
      <c r="G345" s="29" t="str">
        <f aca="false">IF(AND(316&lt;=$B$11*12,G344&gt;0),MAX(C345-F345,0),"")</f>
        <v/>
      </c>
    </row>
    <row r="346" customFormat="false" ht="15" hidden="false" customHeight="false" outlineLevel="0" collapsed="false">
      <c r="A346" s="24" t="str">
        <f aca="false">IF(317&lt;=$B$11*12,317,"")</f>
        <v/>
      </c>
      <c r="B346" s="25" t="str">
        <f aca="true">IF(317&lt;=$B$11*12,DATE(YEAR(TODAY()),MONTH(TODAY())+317,1),"")</f>
        <v/>
      </c>
      <c r="C346" s="26" t="str">
        <f aca="false">IF(317&lt;=$B$11*12,G345,"")</f>
        <v/>
      </c>
      <c r="D346" s="26" t="str">
        <f aca="false">IF(AND(317&lt;=$B$11*12,G345&gt;0),MIN($B$22,C346*(1+$B$18)),"")</f>
        <v/>
      </c>
      <c r="E346" s="26" t="str">
        <f aca="false">IF(AND(317&lt;=$B$11*12,G345&gt;0),C346*$B$18,"")</f>
        <v/>
      </c>
      <c r="F346" s="26" t="str">
        <f aca="false">IF(AND(317&lt;=$B$11*12,G345&gt;0),D346-E346,"")</f>
        <v/>
      </c>
      <c r="G346" s="26" t="str">
        <f aca="false">IF(AND(317&lt;=$B$11*12,G345&gt;0),MAX(C346-F346,0),"")</f>
        <v/>
      </c>
    </row>
    <row r="347" customFormat="false" ht="15" hidden="false" customHeight="false" outlineLevel="0" collapsed="false">
      <c r="A347" s="27" t="str">
        <f aca="false">IF(318&lt;=$B$11*12,318,"")</f>
        <v/>
      </c>
      <c r="B347" s="28" t="str">
        <f aca="true">IF(318&lt;=$B$11*12,DATE(YEAR(TODAY()),MONTH(TODAY())+318,1),"")</f>
        <v/>
      </c>
      <c r="C347" s="29" t="str">
        <f aca="false">IF(318&lt;=$B$11*12,G346,"")</f>
        <v/>
      </c>
      <c r="D347" s="29" t="str">
        <f aca="false">IF(AND(318&lt;=$B$11*12,G346&gt;0),MIN($B$22,C347*(1+$B$18)),"")</f>
        <v/>
      </c>
      <c r="E347" s="29" t="str">
        <f aca="false">IF(AND(318&lt;=$B$11*12,G346&gt;0),C347*$B$18,"")</f>
        <v/>
      </c>
      <c r="F347" s="29" t="str">
        <f aca="false">IF(AND(318&lt;=$B$11*12,G346&gt;0),D347-E347,"")</f>
        <v/>
      </c>
      <c r="G347" s="29" t="str">
        <f aca="false">IF(AND(318&lt;=$B$11*12,G346&gt;0),MAX(C347-F347,0),"")</f>
        <v/>
      </c>
    </row>
    <row r="348" customFormat="false" ht="15" hidden="false" customHeight="false" outlineLevel="0" collapsed="false">
      <c r="A348" s="24" t="str">
        <f aca="false">IF(319&lt;=$B$11*12,319,"")</f>
        <v/>
      </c>
      <c r="B348" s="25" t="str">
        <f aca="true">IF(319&lt;=$B$11*12,DATE(YEAR(TODAY()),MONTH(TODAY())+319,1),"")</f>
        <v/>
      </c>
      <c r="C348" s="26" t="str">
        <f aca="false">IF(319&lt;=$B$11*12,G347,"")</f>
        <v/>
      </c>
      <c r="D348" s="26" t="str">
        <f aca="false">IF(AND(319&lt;=$B$11*12,G347&gt;0),MIN($B$22,C348*(1+$B$18)),"")</f>
        <v/>
      </c>
      <c r="E348" s="26" t="str">
        <f aca="false">IF(AND(319&lt;=$B$11*12,G347&gt;0),C348*$B$18,"")</f>
        <v/>
      </c>
      <c r="F348" s="26" t="str">
        <f aca="false">IF(AND(319&lt;=$B$11*12,G347&gt;0),D348-E348,"")</f>
        <v/>
      </c>
      <c r="G348" s="26" t="str">
        <f aca="false">IF(AND(319&lt;=$B$11*12,G347&gt;0),MAX(C348-F348,0),"")</f>
        <v/>
      </c>
    </row>
    <row r="349" customFormat="false" ht="15" hidden="false" customHeight="false" outlineLevel="0" collapsed="false">
      <c r="A349" s="27" t="str">
        <f aca="false">IF(320&lt;=$B$11*12,320,"")</f>
        <v/>
      </c>
      <c r="B349" s="28" t="str">
        <f aca="true">IF(320&lt;=$B$11*12,DATE(YEAR(TODAY()),MONTH(TODAY())+320,1),"")</f>
        <v/>
      </c>
      <c r="C349" s="29" t="str">
        <f aca="false">IF(320&lt;=$B$11*12,G348,"")</f>
        <v/>
      </c>
      <c r="D349" s="29" t="str">
        <f aca="false">IF(AND(320&lt;=$B$11*12,G348&gt;0),MIN($B$22,C349*(1+$B$18)),"")</f>
        <v/>
      </c>
      <c r="E349" s="29" t="str">
        <f aca="false">IF(AND(320&lt;=$B$11*12,G348&gt;0),C349*$B$18,"")</f>
        <v/>
      </c>
      <c r="F349" s="29" t="str">
        <f aca="false">IF(AND(320&lt;=$B$11*12,G348&gt;0),D349-E349,"")</f>
        <v/>
      </c>
      <c r="G349" s="29" t="str">
        <f aca="false">IF(AND(320&lt;=$B$11*12,G348&gt;0),MAX(C349-F349,0),"")</f>
        <v/>
      </c>
    </row>
    <row r="350" customFormat="false" ht="15" hidden="false" customHeight="false" outlineLevel="0" collapsed="false">
      <c r="A350" s="24" t="str">
        <f aca="false">IF(321&lt;=$B$11*12,321,"")</f>
        <v/>
      </c>
      <c r="B350" s="25" t="str">
        <f aca="true">IF(321&lt;=$B$11*12,DATE(YEAR(TODAY()),MONTH(TODAY())+321,1),"")</f>
        <v/>
      </c>
      <c r="C350" s="26" t="str">
        <f aca="false">IF(321&lt;=$B$11*12,G349,"")</f>
        <v/>
      </c>
      <c r="D350" s="26" t="str">
        <f aca="false">IF(AND(321&lt;=$B$11*12,G349&gt;0),MIN($B$22,C350*(1+$B$18)),"")</f>
        <v/>
      </c>
      <c r="E350" s="26" t="str">
        <f aca="false">IF(AND(321&lt;=$B$11*12,G349&gt;0),C350*$B$18,"")</f>
        <v/>
      </c>
      <c r="F350" s="26" t="str">
        <f aca="false">IF(AND(321&lt;=$B$11*12,G349&gt;0),D350-E350,"")</f>
        <v/>
      </c>
      <c r="G350" s="26" t="str">
        <f aca="false">IF(AND(321&lt;=$B$11*12,G349&gt;0),MAX(C350-F350,0),"")</f>
        <v/>
      </c>
    </row>
    <row r="351" customFormat="false" ht="15" hidden="false" customHeight="false" outlineLevel="0" collapsed="false">
      <c r="A351" s="27" t="str">
        <f aca="false">IF(322&lt;=$B$11*12,322,"")</f>
        <v/>
      </c>
      <c r="B351" s="28" t="str">
        <f aca="true">IF(322&lt;=$B$11*12,DATE(YEAR(TODAY()),MONTH(TODAY())+322,1),"")</f>
        <v/>
      </c>
      <c r="C351" s="29" t="str">
        <f aca="false">IF(322&lt;=$B$11*12,G350,"")</f>
        <v/>
      </c>
      <c r="D351" s="29" t="str">
        <f aca="false">IF(AND(322&lt;=$B$11*12,G350&gt;0),MIN($B$22,C351*(1+$B$18)),"")</f>
        <v/>
      </c>
      <c r="E351" s="29" t="str">
        <f aca="false">IF(AND(322&lt;=$B$11*12,G350&gt;0),C351*$B$18,"")</f>
        <v/>
      </c>
      <c r="F351" s="29" t="str">
        <f aca="false">IF(AND(322&lt;=$B$11*12,G350&gt;0),D351-E351,"")</f>
        <v/>
      </c>
      <c r="G351" s="29" t="str">
        <f aca="false">IF(AND(322&lt;=$B$11*12,G350&gt;0),MAX(C351-F351,0),"")</f>
        <v/>
      </c>
    </row>
    <row r="352" customFormat="false" ht="15" hidden="false" customHeight="false" outlineLevel="0" collapsed="false">
      <c r="A352" s="24" t="str">
        <f aca="false">IF(323&lt;=$B$11*12,323,"")</f>
        <v/>
      </c>
      <c r="B352" s="25" t="str">
        <f aca="true">IF(323&lt;=$B$11*12,DATE(YEAR(TODAY()),MONTH(TODAY())+323,1),"")</f>
        <v/>
      </c>
      <c r="C352" s="26" t="str">
        <f aca="false">IF(323&lt;=$B$11*12,G351,"")</f>
        <v/>
      </c>
      <c r="D352" s="26" t="str">
        <f aca="false">IF(AND(323&lt;=$B$11*12,G351&gt;0),MIN($B$22,C352*(1+$B$18)),"")</f>
        <v/>
      </c>
      <c r="E352" s="26" t="str">
        <f aca="false">IF(AND(323&lt;=$B$11*12,G351&gt;0),C352*$B$18,"")</f>
        <v/>
      </c>
      <c r="F352" s="26" t="str">
        <f aca="false">IF(AND(323&lt;=$B$11*12,G351&gt;0),D352-E352,"")</f>
        <v/>
      </c>
      <c r="G352" s="26" t="str">
        <f aca="false">IF(AND(323&lt;=$B$11*12,G351&gt;0),MAX(C352-F352,0),"")</f>
        <v/>
      </c>
    </row>
    <row r="353" customFormat="false" ht="15" hidden="false" customHeight="false" outlineLevel="0" collapsed="false">
      <c r="A353" s="27" t="str">
        <f aca="false">IF(324&lt;=$B$11*12,324,"")</f>
        <v/>
      </c>
      <c r="B353" s="28" t="str">
        <f aca="true">IF(324&lt;=$B$11*12,DATE(YEAR(TODAY()),MONTH(TODAY())+324,1),"")</f>
        <v/>
      </c>
      <c r="C353" s="29" t="str">
        <f aca="false">IF(324&lt;=$B$11*12,G352,"")</f>
        <v/>
      </c>
      <c r="D353" s="29" t="str">
        <f aca="false">IF(AND(324&lt;=$B$11*12,G352&gt;0),MIN($B$22,C353*(1+$B$18)),"")</f>
        <v/>
      </c>
      <c r="E353" s="29" t="str">
        <f aca="false">IF(AND(324&lt;=$B$11*12,G352&gt;0),C353*$B$18,"")</f>
        <v/>
      </c>
      <c r="F353" s="29" t="str">
        <f aca="false">IF(AND(324&lt;=$B$11*12,G352&gt;0),D353-E353,"")</f>
        <v/>
      </c>
      <c r="G353" s="29" t="str">
        <f aca="false">IF(AND(324&lt;=$B$11*12,G352&gt;0),MAX(C353-F353,0),"")</f>
        <v/>
      </c>
    </row>
    <row r="354" customFormat="false" ht="15" hidden="false" customHeight="false" outlineLevel="0" collapsed="false">
      <c r="A354" s="24" t="str">
        <f aca="false">IF(325&lt;=$B$11*12,325,"")</f>
        <v/>
      </c>
      <c r="B354" s="25" t="str">
        <f aca="true">IF(325&lt;=$B$11*12,DATE(YEAR(TODAY()),MONTH(TODAY())+325,1),"")</f>
        <v/>
      </c>
      <c r="C354" s="26" t="str">
        <f aca="false">IF(325&lt;=$B$11*12,G353,"")</f>
        <v/>
      </c>
      <c r="D354" s="26" t="str">
        <f aca="false">IF(AND(325&lt;=$B$11*12,G353&gt;0),MIN($B$22,C354*(1+$B$18)),"")</f>
        <v/>
      </c>
      <c r="E354" s="26" t="str">
        <f aca="false">IF(AND(325&lt;=$B$11*12,G353&gt;0),C354*$B$18,"")</f>
        <v/>
      </c>
      <c r="F354" s="26" t="str">
        <f aca="false">IF(AND(325&lt;=$B$11*12,G353&gt;0),D354-E354,"")</f>
        <v/>
      </c>
      <c r="G354" s="26" t="str">
        <f aca="false">IF(AND(325&lt;=$B$11*12,G353&gt;0),MAX(C354-F354,0),"")</f>
        <v/>
      </c>
    </row>
    <row r="355" customFormat="false" ht="15" hidden="false" customHeight="false" outlineLevel="0" collapsed="false">
      <c r="A355" s="27" t="str">
        <f aca="false">IF(326&lt;=$B$11*12,326,"")</f>
        <v/>
      </c>
      <c r="B355" s="28" t="str">
        <f aca="true">IF(326&lt;=$B$11*12,DATE(YEAR(TODAY()),MONTH(TODAY())+326,1),"")</f>
        <v/>
      </c>
      <c r="C355" s="29" t="str">
        <f aca="false">IF(326&lt;=$B$11*12,G354,"")</f>
        <v/>
      </c>
      <c r="D355" s="29" t="str">
        <f aca="false">IF(AND(326&lt;=$B$11*12,G354&gt;0),MIN($B$22,C355*(1+$B$18)),"")</f>
        <v/>
      </c>
      <c r="E355" s="29" t="str">
        <f aca="false">IF(AND(326&lt;=$B$11*12,G354&gt;0),C355*$B$18,"")</f>
        <v/>
      </c>
      <c r="F355" s="29" t="str">
        <f aca="false">IF(AND(326&lt;=$B$11*12,G354&gt;0),D355-E355,"")</f>
        <v/>
      </c>
      <c r="G355" s="29" t="str">
        <f aca="false">IF(AND(326&lt;=$B$11*12,G354&gt;0),MAX(C355-F355,0),"")</f>
        <v/>
      </c>
    </row>
    <row r="356" customFormat="false" ht="15" hidden="false" customHeight="false" outlineLevel="0" collapsed="false">
      <c r="A356" s="24" t="str">
        <f aca="false">IF(327&lt;=$B$11*12,327,"")</f>
        <v/>
      </c>
      <c r="B356" s="25" t="str">
        <f aca="true">IF(327&lt;=$B$11*12,DATE(YEAR(TODAY()),MONTH(TODAY())+327,1),"")</f>
        <v/>
      </c>
      <c r="C356" s="26" t="str">
        <f aca="false">IF(327&lt;=$B$11*12,G355,"")</f>
        <v/>
      </c>
      <c r="D356" s="26" t="str">
        <f aca="false">IF(AND(327&lt;=$B$11*12,G355&gt;0),MIN($B$22,C356*(1+$B$18)),"")</f>
        <v/>
      </c>
      <c r="E356" s="26" t="str">
        <f aca="false">IF(AND(327&lt;=$B$11*12,G355&gt;0),C356*$B$18,"")</f>
        <v/>
      </c>
      <c r="F356" s="26" t="str">
        <f aca="false">IF(AND(327&lt;=$B$11*12,G355&gt;0),D356-E356,"")</f>
        <v/>
      </c>
      <c r="G356" s="26" t="str">
        <f aca="false">IF(AND(327&lt;=$B$11*12,G355&gt;0),MAX(C356-F356,0),"")</f>
        <v/>
      </c>
    </row>
    <row r="357" customFormat="false" ht="15" hidden="false" customHeight="false" outlineLevel="0" collapsed="false">
      <c r="A357" s="27" t="str">
        <f aca="false">IF(328&lt;=$B$11*12,328,"")</f>
        <v/>
      </c>
      <c r="B357" s="28" t="str">
        <f aca="true">IF(328&lt;=$B$11*12,DATE(YEAR(TODAY()),MONTH(TODAY())+328,1),"")</f>
        <v/>
      </c>
      <c r="C357" s="29" t="str">
        <f aca="false">IF(328&lt;=$B$11*12,G356,"")</f>
        <v/>
      </c>
      <c r="D357" s="29" t="str">
        <f aca="false">IF(AND(328&lt;=$B$11*12,G356&gt;0),MIN($B$22,C357*(1+$B$18)),"")</f>
        <v/>
      </c>
      <c r="E357" s="29" t="str">
        <f aca="false">IF(AND(328&lt;=$B$11*12,G356&gt;0),C357*$B$18,"")</f>
        <v/>
      </c>
      <c r="F357" s="29" t="str">
        <f aca="false">IF(AND(328&lt;=$B$11*12,G356&gt;0),D357-E357,"")</f>
        <v/>
      </c>
      <c r="G357" s="29" t="str">
        <f aca="false">IF(AND(328&lt;=$B$11*12,G356&gt;0),MAX(C357-F357,0),"")</f>
        <v/>
      </c>
    </row>
    <row r="358" customFormat="false" ht="15" hidden="false" customHeight="false" outlineLevel="0" collapsed="false">
      <c r="A358" s="24" t="str">
        <f aca="false">IF(329&lt;=$B$11*12,329,"")</f>
        <v/>
      </c>
      <c r="B358" s="25" t="str">
        <f aca="true">IF(329&lt;=$B$11*12,DATE(YEAR(TODAY()),MONTH(TODAY())+329,1),"")</f>
        <v/>
      </c>
      <c r="C358" s="26" t="str">
        <f aca="false">IF(329&lt;=$B$11*12,G357,"")</f>
        <v/>
      </c>
      <c r="D358" s="26" t="str">
        <f aca="false">IF(AND(329&lt;=$B$11*12,G357&gt;0),MIN($B$22,C358*(1+$B$18)),"")</f>
        <v/>
      </c>
      <c r="E358" s="26" t="str">
        <f aca="false">IF(AND(329&lt;=$B$11*12,G357&gt;0),C358*$B$18,"")</f>
        <v/>
      </c>
      <c r="F358" s="26" t="str">
        <f aca="false">IF(AND(329&lt;=$B$11*12,G357&gt;0),D358-E358,"")</f>
        <v/>
      </c>
      <c r="G358" s="26" t="str">
        <f aca="false">IF(AND(329&lt;=$B$11*12,G357&gt;0),MAX(C358-F358,0),"")</f>
        <v/>
      </c>
    </row>
    <row r="359" customFormat="false" ht="15" hidden="false" customHeight="false" outlineLevel="0" collapsed="false">
      <c r="A359" s="27" t="str">
        <f aca="false">IF(330&lt;=$B$11*12,330,"")</f>
        <v/>
      </c>
      <c r="B359" s="28" t="str">
        <f aca="true">IF(330&lt;=$B$11*12,DATE(YEAR(TODAY()),MONTH(TODAY())+330,1),"")</f>
        <v/>
      </c>
      <c r="C359" s="29" t="str">
        <f aca="false">IF(330&lt;=$B$11*12,G358,"")</f>
        <v/>
      </c>
      <c r="D359" s="29" t="str">
        <f aca="false">IF(AND(330&lt;=$B$11*12,G358&gt;0),MIN($B$22,C359*(1+$B$18)),"")</f>
        <v/>
      </c>
      <c r="E359" s="29" t="str">
        <f aca="false">IF(AND(330&lt;=$B$11*12,G358&gt;0),C359*$B$18,"")</f>
        <v/>
      </c>
      <c r="F359" s="29" t="str">
        <f aca="false">IF(AND(330&lt;=$B$11*12,G358&gt;0),D359-E359,"")</f>
        <v/>
      </c>
      <c r="G359" s="29" t="str">
        <f aca="false">IF(AND(330&lt;=$B$11*12,G358&gt;0),MAX(C359-F359,0),"")</f>
        <v/>
      </c>
    </row>
    <row r="360" customFormat="false" ht="15" hidden="false" customHeight="false" outlineLevel="0" collapsed="false">
      <c r="A360" s="24" t="str">
        <f aca="false">IF(331&lt;=$B$11*12,331,"")</f>
        <v/>
      </c>
      <c r="B360" s="25" t="str">
        <f aca="true">IF(331&lt;=$B$11*12,DATE(YEAR(TODAY()),MONTH(TODAY())+331,1),"")</f>
        <v/>
      </c>
      <c r="C360" s="26" t="str">
        <f aca="false">IF(331&lt;=$B$11*12,G359,"")</f>
        <v/>
      </c>
      <c r="D360" s="26" t="str">
        <f aca="false">IF(AND(331&lt;=$B$11*12,G359&gt;0),MIN($B$22,C360*(1+$B$18)),"")</f>
        <v/>
      </c>
      <c r="E360" s="26" t="str">
        <f aca="false">IF(AND(331&lt;=$B$11*12,G359&gt;0),C360*$B$18,"")</f>
        <v/>
      </c>
      <c r="F360" s="26" t="str">
        <f aca="false">IF(AND(331&lt;=$B$11*12,G359&gt;0),D360-E360,"")</f>
        <v/>
      </c>
      <c r="G360" s="26" t="str">
        <f aca="false">IF(AND(331&lt;=$B$11*12,G359&gt;0),MAX(C360-F360,0),"")</f>
        <v/>
      </c>
    </row>
    <row r="361" customFormat="false" ht="15" hidden="false" customHeight="false" outlineLevel="0" collapsed="false">
      <c r="A361" s="27" t="str">
        <f aca="false">IF(332&lt;=$B$11*12,332,"")</f>
        <v/>
      </c>
      <c r="B361" s="28" t="str">
        <f aca="true">IF(332&lt;=$B$11*12,DATE(YEAR(TODAY()),MONTH(TODAY())+332,1),"")</f>
        <v/>
      </c>
      <c r="C361" s="29" t="str">
        <f aca="false">IF(332&lt;=$B$11*12,G360,"")</f>
        <v/>
      </c>
      <c r="D361" s="29" t="str">
        <f aca="false">IF(AND(332&lt;=$B$11*12,G360&gt;0),MIN($B$22,C361*(1+$B$18)),"")</f>
        <v/>
      </c>
      <c r="E361" s="29" t="str">
        <f aca="false">IF(AND(332&lt;=$B$11*12,G360&gt;0),C361*$B$18,"")</f>
        <v/>
      </c>
      <c r="F361" s="29" t="str">
        <f aca="false">IF(AND(332&lt;=$B$11*12,G360&gt;0),D361-E361,"")</f>
        <v/>
      </c>
      <c r="G361" s="29" t="str">
        <f aca="false">IF(AND(332&lt;=$B$11*12,G360&gt;0),MAX(C361-F361,0),"")</f>
        <v/>
      </c>
    </row>
    <row r="362" customFormat="false" ht="15" hidden="false" customHeight="false" outlineLevel="0" collapsed="false">
      <c r="A362" s="24" t="str">
        <f aca="false">IF(333&lt;=$B$11*12,333,"")</f>
        <v/>
      </c>
      <c r="B362" s="25" t="str">
        <f aca="true">IF(333&lt;=$B$11*12,DATE(YEAR(TODAY()),MONTH(TODAY())+333,1),"")</f>
        <v/>
      </c>
      <c r="C362" s="26" t="str">
        <f aca="false">IF(333&lt;=$B$11*12,G361,"")</f>
        <v/>
      </c>
      <c r="D362" s="26" t="str">
        <f aca="false">IF(AND(333&lt;=$B$11*12,G361&gt;0),MIN($B$22,C362*(1+$B$18)),"")</f>
        <v/>
      </c>
      <c r="E362" s="26" t="str">
        <f aca="false">IF(AND(333&lt;=$B$11*12,G361&gt;0),C362*$B$18,"")</f>
        <v/>
      </c>
      <c r="F362" s="26" t="str">
        <f aca="false">IF(AND(333&lt;=$B$11*12,G361&gt;0),D362-E362,"")</f>
        <v/>
      </c>
      <c r="G362" s="26" t="str">
        <f aca="false">IF(AND(333&lt;=$B$11*12,G361&gt;0),MAX(C362-F362,0),"")</f>
        <v/>
      </c>
    </row>
    <row r="363" customFormat="false" ht="15" hidden="false" customHeight="false" outlineLevel="0" collapsed="false">
      <c r="A363" s="27" t="str">
        <f aca="false">IF(334&lt;=$B$11*12,334,"")</f>
        <v/>
      </c>
      <c r="B363" s="28" t="str">
        <f aca="true">IF(334&lt;=$B$11*12,DATE(YEAR(TODAY()),MONTH(TODAY())+334,1),"")</f>
        <v/>
      </c>
      <c r="C363" s="29" t="str">
        <f aca="false">IF(334&lt;=$B$11*12,G362,"")</f>
        <v/>
      </c>
      <c r="D363" s="29" t="str">
        <f aca="false">IF(AND(334&lt;=$B$11*12,G362&gt;0),MIN($B$22,C363*(1+$B$18)),"")</f>
        <v/>
      </c>
      <c r="E363" s="29" t="str">
        <f aca="false">IF(AND(334&lt;=$B$11*12,G362&gt;0),C363*$B$18,"")</f>
        <v/>
      </c>
      <c r="F363" s="29" t="str">
        <f aca="false">IF(AND(334&lt;=$B$11*12,G362&gt;0),D363-E363,"")</f>
        <v/>
      </c>
      <c r="G363" s="29" t="str">
        <f aca="false">IF(AND(334&lt;=$B$11*12,G362&gt;0),MAX(C363-F363,0),"")</f>
        <v/>
      </c>
    </row>
    <row r="364" customFormat="false" ht="15" hidden="false" customHeight="false" outlineLevel="0" collapsed="false">
      <c r="A364" s="24" t="str">
        <f aca="false">IF(335&lt;=$B$11*12,335,"")</f>
        <v/>
      </c>
      <c r="B364" s="25" t="str">
        <f aca="true">IF(335&lt;=$B$11*12,DATE(YEAR(TODAY()),MONTH(TODAY())+335,1),"")</f>
        <v/>
      </c>
      <c r="C364" s="26" t="str">
        <f aca="false">IF(335&lt;=$B$11*12,G363,"")</f>
        <v/>
      </c>
      <c r="D364" s="26" t="str">
        <f aca="false">IF(AND(335&lt;=$B$11*12,G363&gt;0),MIN($B$22,C364*(1+$B$18)),"")</f>
        <v/>
      </c>
      <c r="E364" s="26" t="str">
        <f aca="false">IF(AND(335&lt;=$B$11*12,G363&gt;0),C364*$B$18,"")</f>
        <v/>
      </c>
      <c r="F364" s="26" t="str">
        <f aca="false">IF(AND(335&lt;=$B$11*12,G363&gt;0),D364-E364,"")</f>
        <v/>
      </c>
      <c r="G364" s="26" t="str">
        <f aca="false">IF(AND(335&lt;=$B$11*12,G363&gt;0),MAX(C364-F364,0),"")</f>
        <v/>
      </c>
    </row>
    <row r="365" customFormat="false" ht="15" hidden="false" customHeight="false" outlineLevel="0" collapsed="false">
      <c r="A365" s="27" t="str">
        <f aca="false">IF(336&lt;=$B$11*12,336,"")</f>
        <v/>
      </c>
      <c r="B365" s="28" t="str">
        <f aca="true">IF(336&lt;=$B$11*12,DATE(YEAR(TODAY()),MONTH(TODAY())+336,1),"")</f>
        <v/>
      </c>
      <c r="C365" s="29" t="str">
        <f aca="false">IF(336&lt;=$B$11*12,G364,"")</f>
        <v/>
      </c>
      <c r="D365" s="29" t="str">
        <f aca="false">IF(AND(336&lt;=$B$11*12,G364&gt;0),MIN($B$22,C365*(1+$B$18)),"")</f>
        <v/>
      </c>
      <c r="E365" s="29" t="str">
        <f aca="false">IF(AND(336&lt;=$B$11*12,G364&gt;0),C365*$B$18,"")</f>
        <v/>
      </c>
      <c r="F365" s="29" t="str">
        <f aca="false">IF(AND(336&lt;=$B$11*12,G364&gt;0),D365-E365,"")</f>
        <v/>
      </c>
      <c r="G365" s="29" t="str">
        <f aca="false">IF(AND(336&lt;=$B$11*12,G364&gt;0),MAX(C365-F365,0),"")</f>
        <v/>
      </c>
    </row>
    <row r="366" customFormat="false" ht="15" hidden="false" customHeight="false" outlineLevel="0" collapsed="false">
      <c r="A366" s="24" t="str">
        <f aca="false">IF(337&lt;=$B$11*12,337,"")</f>
        <v/>
      </c>
      <c r="B366" s="25" t="str">
        <f aca="true">IF(337&lt;=$B$11*12,DATE(YEAR(TODAY()),MONTH(TODAY())+337,1),"")</f>
        <v/>
      </c>
      <c r="C366" s="26" t="str">
        <f aca="false">IF(337&lt;=$B$11*12,G365,"")</f>
        <v/>
      </c>
      <c r="D366" s="26" t="str">
        <f aca="false">IF(AND(337&lt;=$B$11*12,G365&gt;0),MIN($B$22,C366*(1+$B$18)),"")</f>
        <v/>
      </c>
      <c r="E366" s="26" t="str">
        <f aca="false">IF(AND(337&lt;=$B$11*12,G365&gt;0),C366*$B$18,"")</f>
        <v/>
      </c>
      <c r="F366" s="26" t="str">
        <f aca="false">IF(AND(337&lt;=$B$11*12,G365&gt;0),D366-E366,"")</f>
        <v/>
      </c>
      <c r="G366" s="26" t="str">
        <f aca="false">IF(AND(337&lt;=$B$11*12,G365&gt;0),MAX(C366-F366,0),"")</f>
        <v/>
      </c>
    </row>
    <row r="367" customFormat="false" ht="15" hidden="false" customHeight="false" outlineLevel="0" collapsed="false">
      <c r="A367" s="27" t="str">
        <f aca="false">IF(338&lt;=$B$11*12,338,"")</f>
        <v/>
      </c>
      <c r="B367" s="28" t="str">
        <f aca="true">IF(338&lt;=$B$11*12,DATE(YEAR(TODAY()),MONTH(TODAY())+338,1),"")</f>
        <v/>
      </c>
      <c r="C367" s="29" t="str">
        <f aca="false">IF(338&lt;=$B$11*12,G366,"")</f>
        <v/>
      </c>
      <c r="D367" s="29" t="str">
        <f aca="false">IF(AND(338&lt;=$B$11*12,G366&gt;0),MIN($B$22,C367*(1+$B$18)),"")</f>
        <v/>
      </c>
      <c r="E367" s="29" t="str">
        <f aca="false">IF(AND(338&lt;=$B$11*12,G366&gt;0),C367*$B$18,"")</f>
        <v/>
      </c>
      <c r="F367" s="29" t="str">
        <f aca="false">IF(AND(338&lt;=$B$11*12,G366&gt;0),D367-E367,"")</f>
        <v/>
      </c>
      <c r="G367" s="29" t="str">
        <f aca="false">IF(AND(338&lt;=$B$11*12,G366&gt;0),MAX(C367-F367,0),"")</f>
        <v/>
      </c>
    </row>
    <row r="368" customFormat="false" ht="15" hidden="false" customHeight="false" outlineLevel="0" collapsed="false">
      <c r="A368" s="24" t="str">
        <f aca="false">IF(339&lt;=$B$11*12,339,"")</f>
        <v/>
      </c>
      <c r="B368" s="25" t="str">
        <f aca="true">IF(339&lt;=$B$11*12,DATE(YEAR(TODAY()),MONTH(TODAY())+339,1),"")</f>
        <v/>
      </c>
      <c r="C368" s="26" t="str">
        <f aca="false">IF(339&lt;=$B$11*12,G367,"")</f>
        <v/>
      </c>
      <c r="D368" s="26" t="str">
        <f aca="false">IF(AND(339&lt;=$B$11*12,G367&gt;0),MIN($B$22,C368*(1+$B$18)),"")</f>
        <v/>
      </c>
      <c r="E368" s="26" t="str">
        <f aca="false">IF(AND(339&lt;=$B$11*12,G367&gt;0),C368*$B$18,"")</f>
        <v/>
      </c>
      <c r="F368" s="26" t="str">
        <f aca="false">IF(AND(339&lt;=$B$11*12,G367&gt;0),D368-E368,"")</f>
        <v/>
      </c>
      <c r="G368" s="26" t="str">
        <f aca="false">IF(AND(339&lt;=$B$11*12,G367&gt;0),MAX(C368-F368,0),"")</f>
        <v/>
      </c>
    </row>
    <row r="369" customFormat="false" ht="15" hidden="false" customHeight="false" outlineLevel="0" collapsed="false">
      <c r="A369" s="27" t="str">
        <f aca="false">IF(340&lt;=$B$11*12,340,"")</f>
        <v/>
      </c>
      <c r="B369" s="28" t="str">
        <f aca="true">IF(340&lt;=$B$11*12,DATE(YEAR(TODAY()),MONTH(TODAY())+340,1),"")</f>
        <v/>
      </c>
      <c r="C369" s="29" t="str">
        <f aca="false">IF(340&lt;=$B$11*12,G368,"")</f>
        <v/>
      </c>
      <c r="D369" s="29" t="str">
        <f aca="false">IF(AND(340&lt;=$B$11*12,G368&gt;0),MIN($B$22,C369*(1+$B$18)),"")</f>
        <v/>
      </c>
      <c r="E369" s="29" t="str">
        <f aca="false">IF(AND(340&lt;=$B$11*12,G368&gt;0),C369*$B$18,"")</f>
        <v/>
      </c>
      <c r="F369" s="29" t="str">
        <f aca="false">IF(AND(340&lt;=$B$11*12,G368&gt;0),D369-E369,"")</f>
        <v/>
      </c>
      <c r="G369" s="29" t="str">
        <f aca="false">IF(AND(340&lt;=$B$11*12,G368&gt;0),MAX(C369-F369,0),"")</f>
        <v/>
      </c>
    </row>
    <row r="370" customFormat="false" ht="15" hidden="false" customHeight="false" outlineLevel="0" collapsed="false">
      <c r="A370" s="24" t="str">
        <f aca="false">IF(341&lt;=$B$11*12,341,"")</f>
        <v/>
      </c>
      <c r="B370" s="25" t="str">
        <f aca="true">IF(341&lt;=$B$11*12,DATE(YEAR(TODAY()),MONTH(TODAY())+341,1),"")</f>
        <v/>
      </c>
      <c r="C370" s="26" t="str">
        <f aca="false">IF(341&lt;=$B$11*12,G369,"")</f>
        <v/>
      </c>
      <c r="D370" s="26" t="str">
        <f aca="false">IF(AND(341&lt;=$B$11*12,G369&gt;0),MIN($B$22,C370*(1+$B$18)),"")</f>
        <v/>
      </c>
      <c r="E370" s="26" t="str">
        <f aca="false">IF(AND(341&lt;=$B$11*12,G369&gt;0),C370*$B$18,"")</f>
        <v/>
      </c>
      <c r="F370" s="26" t="str">
        <f aca="false">IF(AND(341&lt;=$B$11*12,G369&gt;0),D370-E370,"")</f>
        <v/>
      </c>
      <c r="G370" s="26" t="str">
        <f aca="false">IF(AND(341&lt;=$B$11*12,G369&gt;0),MAX(C370-F370,0),"")</f>
        <v/>
      </c>
    </row>
    <row r="371" customFormat="false" ht="15" hidden="false" customHeight="false" outlineLevel="0" collapsed="false">
      <c r="A371" s="27" t="str">
        <f aca="false">IF(342&lt;=$B$11*12,342,"")</f>
        <v/>
      </c>
      <c r="B371" s="28" t="str">
        <f aca="true">IF(342&lt;=$B$11*12,DATE(YEAR(TODAY()),MONTH(TODAY())+342,1),"")</f>
        <v/>
      </c>
      <c r="C371" s="29" t="str">
        <f aca="false">IF(342&lt;=$B$11*12,G370,"")</f>
        <v/>
      </c>
      <c r="D371" s="29" t="str">
        <f aca="false">IF(AND(342&lt;=$B$11*12,G370&gt;0),MIN($B$22,C371*(1+$B$18)),"")</f>
        <v/>
      </c>
      <c r="E371" s="29" t="str">
        <f aca="false">IF(AND(342&lt;=$B$11*12,G370&gt;0),C371*$B$18,"")</f>
        <v/>
      </c>
      <c r="F371" s="29" t="str">
        <f aca="false">IF(AND(342&lt;=$B$11*12,G370&gt;0),D371-E371,"")</f>
        <v/>
      </c>
      <c r="G371" s="29" t="str">
        <f aca="false">IF(AND(342&lt;=$B$11*12,G370&gt;0),MAX(C371-F371,0),"")</f>
        <v/>
      </c>
    </row>
    <row r="372" customFormat="false" ht="15" hidden="false" customHeight="false" outlineLevel="0" collapsed="false">
      <c r="A372" s="24" t="str">
        <f aca="false">IF(343&lt;=$B$11*12,343,"")</f>
        <v/>
      </c>
      <c r="B372" s="25" t="str">
        <f aca="true">IF(343&lt;=$B$11*12,DATE(YEAR(TODAY()),MONTH(TODAY())+343,1),"")</f>
        <v/>
      </c>
      <c r="C372" s="26" t="str">
        <f aca="false">IF(343&lt;=$B$11*12,G371,"")</f>
        <v/>
      </c>
      <c r="D372" s="26" t="str">
        <f aca="false">IF(AND(343&lt;=$B$11*12,G371&gt;0),MIN($B$22,C372*(1+$B$18)),"")</f>
        <v/>
      </c>
      <c r="E372" s="26" t="str">
        <f aca="false">IF(AND(343&lt;=$B$11*12,G371&gt;0),C372*$B$18,"")</f>
        <v/>
      </c>
      <c r="F372" s="26" t="str">
        <f aca="false">IF(AND(343&lt;=$B$11*12,G371&gt;0),D372-E372,"")</f>
        <v/>
      </c>
      <c r="G372" s="26" t="str">
        <f aca="false">IF(AND(343&lt;=$B$11*12,G371&gt;0),MAX(C372-F372,0),"")</f>
        <v/>
      </c>
    </row>
    <row r="373" customFormat="false" ht="15" hidden="false" customHeight="false" outlineLevel="0" collapsed="false">
      <c r="A373" s="27" t="str">
        <f aca="false">IF(344&lt;=$B$11*12,344,"")</f>
        <v/>
      </c>
      <c r="B373" s="28" t="str">
        <f aca="true">IF(344&lt;=$B$11*12,DATE(YEAR(TODAY()),MONTH(TODAY())+344,1),"")</f>
        <v/>
      </c>
      <c r="C373" s="29" t="str">
        <f aca="false">IF(344&lt;=$B$11*12,G372,"")</f>
        <v/>
      </c>
      <c r="D373" s="29" t="str">
        <f aca="false">IF(AND(344&lt;=$B$11*12,G372&gt;0),MIN($B$22,C373*(1+$B$18)),"")</f>
        <v/>
      </c>
      <c r="E373" s="29" t="str">
        <f aca="false">IF(AND(344&lt;=$B$11*12,G372&gt;0),C373*$B$18,"")</f>
        <v/>
      </c>
      <c r="F373" s="29" t="str">
        <f aca="false">IF(AND(344&lt;=$B$11*12,G372&gt;0),D373-E373,"")</f>
        <v/>
      </c>
      <c r="G373" s="29" t="str">
        <f aca="false">IF(AND(344&lt;=$B$11*12,G372&gt;0),MAX(C373-F373,0),"")</f>
        <v/>
      </c>
    </row>
    <row r="374" customFormat="false" ht="15" hidden="false" customHeight="false" outlineLevel="0" collapsed="false">
      <c r="A374" s="24" t="str">
        <f aca="false">IF(345&lt;=$B$11*12,345,"")</f>
        <v/>
      </c>
      <c r="B374" s="25" t="str">
        <f aca="true">IF(345&lt;=$B$11*12,DATE(YEAR(TODAY()),MONTH(TODAY())+345,1),"")</f>
        <v/>
      </c>
      <c r="C374" s="26" t="str">
        <f aca="false">IF(345&lt;=$B$11*12,G373,"")</f>
        <v/>
      </c>
      <c r="D374" s="26" t="str">
        <f aca="false">IF(AND(345&lt;=$B$11*12,G373&gt;0),MIN($B$22,C374*(1+$B$18)),"")</f>
        <v/>
      </c>
      <c r="E374" s="26" t="str">
        <f aca="false">IF(AND(345&lt;=$B$11*12,G373&gt;0),C374*$B$18,"")</f>
        <v/>
      </c>
      <c r="F374" s="26" t="str">
        <f aca="false">IF(AND(345&lt;=$B$11*12,G373&gt;0),D374-E374,"")</f>
        <v/>
      </c>
      <c r="G374" s="26" t="str">
        <f aca="false">IF(AND(345&lt;=$B$11*12,G373&gt;0),MAX(C374-F374,0),"")</f>
        <v/>
      </c>
    </row>
    <row r="375" customFormat="false" ht="15" hidden="false" customHeight="false" outlineLevel="0" collapsed="false">
      <c r="A375" s="27" t="str">
        <f aca="false">IF(346&lt;=$B$11*12,346,"")</f>
        <v/>
      </c>
      <c r="B375" s="28" t="str">
        <f aca="true">IF(346&lt;=$B$11*12,DATE(YEAR(TODAY()),MONTH(TODAY())+346,1),"")</f>
        <v/>
      </c>
      <c r="C375" s="29" t="str">
        <f aca="false">IF(346&lt;=$B$11*12,G374,"")</f>
        <v/>
      </c>
      <c r="D375" s="29" t="str">
        <f aca="false">IF(AND(346&lt;=$B$11*12,G374&gt;0),MIN($B$22,C375*(1+$B$18)),"")</f>
        <v/>
      </c>
      <c r="E375" s="29" t="str">
        <f aca="false">IF(AND(346&lt;=$B$11*12,G374&gt;0),C375*$B$18,"")</f>
        <v/>
      </c>
      <c r="F375" s="29" t="str">
        <f aca="false">IF(AND(346&lt;=$B$11*12,G374&gt;0),D375-E375,"")</f>
        <v/>
      </c>
      <c r="G375" s="29" t="str">
        <f aca="false">IF(AND(346&lt;=$B$11*12,G374&gt;0),MAX(C375-F375,0),"")</f>
        <v/>
      </c>
    </row>
    <row r="376" customFormat="false" ht="15" hidden="false" customHeight="false" outlineLevel="0" collapsed="false">
      <c r="A376" s="24" t="str">
        <f aca="false">IF(347&lt;=$B$11*12,347,"")</f>
        <v/>
      </c>
      <c r="B376" s="25" t="str">
        <f aca="true">IF(347&lt;=$B$11*12,DATE(YEAR(TODAY()),MONTH(TODAY())+347,1),"")</f>
        <v/>
      </c>
      <c r="C376" s="26" t="str">
        <f aca="false">IF(347&lt;=$B$11*12,G375,"")</f>
        <v/>
      </c>
      <c r="D376" s="26" t="str">
        <f aca="false">IF(AND(347&lt;=$B$11*12,G375&gt;0),MIN($B$22,C376*(1+$B$18)),"")</f>
        <v/>
      </c>
      <c r="E376" s="26" t="str">
        <f aca="false">IF(AND(347&lt;=$B$11*12,G375&gt;0),C376*$B$18,"")</f>
        <v/>
      </c>
      <c r="F376" s="26" t="str">
        <f aca="false">IF(AND(347&lt;=$B$11*12,G375&gt;0),D376-E376,"")</f>
        <v/>
      </c>
      <c r="G376" s="26" t="str">
        <f aca="false">IF(AND(347&lt;=$B$11*12,G375&gt;0),MAX(C376-F376,0),"")</f>
        <v/>
      </c>
    </row>
    <row r="377" customFormat="false" ht="15" hidden="false" customHeight="false" outlineLevel="0" collapsed="false">
      <c r="A377" s="27" t="str">
        <f aca="false">IF(348&lt;=$B$11*12,348,"")</f>
        <v/>
      </c>
      <c r="B377" s="28" t="str">
        <f aca="true">IF(348&lt;=$B$11*12,DATE(YEAR(TODAY()),MONTH(TODAY())+348,1),"")</f>
        <v/>
      </c>
      <c r="C377" s="29" t="str">
        <f aca="false">IF(348&lt;=$B$11*12,G376,"")</f>
        <v/>
      </c>
      <c r="D377" s="29" t="str">
        <f aca="false">IF(AND(348&lt;=$B$11*12,G376&gt;0),MIN($B$22,C377*(1+$B$18)),"")</f>
        <v/>
      </c>
      <c r="E377" s="29" t="str">
        <f aca="false">IF(AND(348&lt;=$B$11*12,G376&gt;0),C377*$B$18,"")</f>
        <v/>
      </c>
      <c r="F377" s="29" t="str">
        <f aca="false">IF(AND(348&lt;=$B$11*12,G376&gt;0),D377-E377,"")</f>
        <v/>
      </c>
      <c r="G377" s="29" t="str">
        <f aca="false">IF(AND(348&lt;=$B$11*12,G376&gt;0),MAX(C377-F377,0),"")</f>
        <v/>
      </c>
    </row>
    <row r="378" customFormat="false" ht="15" hidden="false" customHeight="false" outlineLevel="0" collapsed="false">
      <c r="A378" s="24" t="str">
        <f aca="false">IF(349&lt;=$B$11*12,349,"")</f>
        <v/>
      </c>
      <c r="B378" s="25" t="str">
        <f aca="true">IF(349&lt;=$B$11*12,DATE(YEAR(TODAY()),MONTH(TODAY())+349,1),"")</f>
        <v/>
      </c>
      <c r="C378" s="26" t="str">
        <f aca="false">IF(349&lt;=$B$11*12,G377,"")</f>
        <v/>
      </c>
      <c r="D378" s="26" t="str">
        <f aca="false">IF(AND(349&lt;=$B$11*12,G377&gt;0),MIN($B$22,C378*(1+$B$18)),"")</f>
        <v/>
      </c>
      <c r="E378" s="26" t="str">
        <f aca="false">IF(AND(349&lt;=$B$11*12,G377&gt;0),C378*$B$18,"")</f>
        <v/>
      </c>
      <c r="F378" s="26" t="str">
        <f aca="false">IF(AND(349&lt;=$B$11*12,G377&gt;0),D378-E378,"")</f>
        <v/>
      </c>
      <c r="G378" s="26" t="str">
        <f aca="false">IF(AND(349&lt;=$B$11*12,G377&gt;0),MAX(C378-F378,0),"")</f>
        <v/>
      </c>
    </row>
    <row r="379" customFormat="false" ht="15" hidden="false" customHeight="false" outlineLevel="0" collapsed="false">
      <c r="A379" s="27" t="str">
        <f aca="false">IF(350&lt;=$B$11*12,350,"")</f>
        <v/>
      </c>
      <c r="B379" s="28" t="str">
        <f aca="true">IF(350&lt;=$B$11*12,DATE(YEAR(TODAY()),MONTH(TODAY())+350,1),"")</f>
        <v/>
      </c>
      <c r="C379" s="29" t="str">
        <f aca="false">IF(350&lt;=$B$11*12,G378,"")</f>
        <v/>
      </c>
      <c r="D379" s="29" t="str">
        <f aca="false">IF(AND(350&lt;=$B$11*12,G378&gt;0),MIN($B$22,C379*(1+$B$18)),"")</f>
        <v/>
      </c>
      <c r="E379" s="29" t="str">
        <f aca="false">IF(AND(350&lt;=$B$11*12,G378&gt;0),C379*$B$18,"")</f>
        <v/>
      </c>
      <c r="F379" s="29" t="str">
        <f aca="false">IF(AND(350&lt;=$B$11*12,G378&gt;0),D379-E379,"")</f>
        <v/>
      </c>
      <c r="G379" s="29" t="str">
        <f aca="false">IF(AND(350&lt;=$B$11*12,G378&gt;0),MAX(C379-F379,0),"")</f>
        <v/>
      </c>
    </row>
    <row r="380" customFormat="false" ht="15" hidden="false" customHeight="false" outlineLevel="0" collapsed="false">
      <c r="A380" s="24" t="str">
        <f aca="false">IF(351&lt;=$B$11*12,351,"")</f>
        <v/>
      </c>
      <c r="B380" s="25" t="str">
        <f aca="true">IF(351&lt;=$B$11*12,DATE(YEAR(TODAY()),MONTH(TODAY())+351,1),"")</f>
        <v/>
      </c>
      <c r="C380" s="26" t="str">
        <f aca="false">IF(351&lt;=$B$11*12,G379,"")</f>
        <v/>
      </c>
      <c r="D380" s="26" t="str">
        <f aca="false">IF(AND(351&lt;=$B$11*12,G379&gt;0),MIN($B$22,C380*(1+$B$18)),"")</f>
        <v/>
      </c>
      <c r="E380" s="26" t="str">
        <f aca="false">IF(AND(351&lt;=$B$11*12,G379&gt;0),C380*$B$18,"")</f>
        <v/>
      </c>
      <c r="F380" s="26" t="str">
        <f aca="false">IF(AND(351&lt;=$B$11*12,G379&gt;0),D380-E380,"")</f>
        <v/>
      </c>
      <c r="G380" s="26" t="str">
        <f aca="false">IF(AND(351&lt;=$B$11*12,G379&gt;0),MAX(C380-F380,0),"")</f>
        <v/>
      </c>
    </row>
    <row r="381" customFormat="false" ht="15" hidden="false" customHeight="false" outlineLevel="0" collapsed="false">
      <c r="A381" s="27" t="str">
        <f aca="false">IF(352&lt;=$B$11*12,352,"")</f>
        <v/>
      </c>
      <c r="B381" s="28" t="str">
        <f aca="true">IF(352&lt;=$B$11*12,DATE(YEAR(TODAY()),MONTH(TODAY())+352,1),"")</f>
        <v/>
      </c>
      <c r="C381" s="29" t="str">
        <f aca="false">IF(352&lt;=$B$11*12,G380,"")</f>
        <v/>
      </c>
      <c r="D381" s="29" t="str">
        <f aca="false">IF(AND(352&lt;=$B$11*12,G380&gt;0),MIN($B$22,C381*(1+$B$18)),"")</f>
        <v/>
      </c>
      <c r="E381" s="29" t="str">
        <f aca="false">IF(AND(352&lt;=$B$11*12,G380&gt;0),C381*$B$18,"")</f>
        <v/>
      </c>
      <c r="F381" s="29" t="str">
        <f aca="false">IF(AND(352&lt;=$B$11*12,G380&gt;0),D381-E381,"")</f>
        <v/>
      </c>
      <c r="G381" s="29" t="str">
        <f aca="false">IF(AND(352&lt;=$B$11*12,G380&gt;0),MAX(C381-F381,0),"")</f>
        <v/>
      </c>
    </row>
    <row r="382" customFormat="false" ht="15" hidden="false" customHeight="false" outlineLevel="0" collapsed="false">
      <c r="A382" s="24" t="str">
        <f aca="false">IF(353&lt;=$B$11*12,353,"")</f>
        <v/>
      </c>
      <c r="B382" s="25" t="str">
        <f aca="true">IF(353&lt;=$B$11*12,DATE(YEAR(TODAY()),MONTH(TODAY())+353,1),"")</f>
        <v/>
      </c>
      <c r="C382" s="26" t="str">
        <f aca="false">IF(353&lt;=$B$11*12,G381,"")</f>
        <v/>
      </c>
      <c r="D382" s="26" t="str">
        <f aca="false">IF(AND(353&lt;=$B$11*12,G381&gt;0),MIN($B$22,C382*(1+$B$18)),"")</f>
        <v/>
      </c>
      <c r="E382" s="26" t="str">
        <f aca="false">IF(AND(353&lt;=$B$11*12,G381&gt;0),C382*$B$18,"")</f>
        <v/>
      </c>
      <c r="F382" s="26" t="str">
        <f aca="false">IF(AND(353&lt;=$B$11*12,G381&gt;0),D382-E382,"")</f>
        <v/>
      </c>
      <c r="G382" s="26" t="str">
        <f aca="false">IF(AND(353&lt;=$B$11*12,G381&gt;0),MAX(C382-F382,0),"")</f>
        <v/>
      </c>
    </row>
    <row r="383" customFormat="false" ht="15" hidden="false" customHeight="false" outlineLevel="0" collapsed="false">
      <c r="A383" s="27" t="str">
        <f aca="false">IF(354&lt;=$B$11*12,354,"")</f>
        <v/>
      </c>
      <c r="B383" s="28" t="str">
        <f aca="true">IF(354&lt;=$B$11*12,DATE(YEAR(TODAY()),MONTH(TODAY())+354,1),"")</f>
        <v/>
      </c>
      <c r="C383" s="29" t="str">
        <f aca="false">IF(354&lt;=$B$11*12,G382,"")</f>
        <v/>
      </c>
      <c r="D383" s="29" t="str">
        <f aca="false">IF(AND(354&lt;=$B$11*12,G382&gt;0),MIN($B$22,C383*(1+$B$18)),"")</f>
        <v/>
      </c>
      <c r="E383" s="29" t="str">
        <f aca="false">IF(AND(354&lt;=$B$11*12,G382&gt;0),C383*$B$18,"")</f>
        <v/>
      </c>
      <c r="F383" s="29" t="str">
        <f aca="false">IF(AND(354&lt;=$B$11*12,G382&gt;0),D383-E383,"")</f>
        <v/>
      </c>
      <c r="G383" s="29" t="str">
        <f aca="false">IF(AND(354&lt;=$B$11*12,G382&gt;0),MAX(C383-F383,0),"")</f>
        <v/>
      </c>
    </row>
    <row r="384" customFormat="false" ht="15" hidden="false" customHeight="false" outlineLevel="0" collapsed="false">
      <c r="A384" s="24" t="str">
        <f aca="false">IF(355&lt;=$B$11*12,355,"")</f>
        <v/>
      </c>
      <c r="B384" s="25" t="str">
        <f aca="true">IF(355&lt;=$B$11*12,DATE(YEAR(TODAY()),MONTH(TODAY())+355,1),"")</f>
        <v/>
      </c>
      <c r="C384" s="26" t="str">
        <f aca="false">IF(355&lt;=$B$11*12,G383,"")</f>
        <v/>
      </c>
      <c r="D384" s="26" t="str">
        <f aca="false">IF(AND(355&lt;=$B$11*12,G383&gt;0),MIN($B$22,C384*(1+$B$18)),"")</f>
        <v/>
      </c>
      <c r="E384" s="26" t="str">
        <f aca="false">IF(AND(355&lt;=$B$11*12,G383&gt;0),C384*$B$18,"")</f>
        <v/>
      </c>
      <c r="F384" s="26" t="str">
        <f aca="false">IF(AND(355&lt;=$B$11*12,G383&gt;0),D384-E384,"")</f>
        <v/>
      </c>
      <c r="G384" s="26" t="str">
        <f aca="false">IF(AND(355&lt;=$B$11*12,G383&gt;0),MAX(C384-F384,0),"")</f>
        <v/>
      </c>
    </row>
    <row r="385" customFormat="false" ht="15" hidden="false" customHeight="false" outlineLevel="0" collapsed="false">
      <c r="A385" s="27" t="str">
        <f aca="false">IF(356&lt;=$B$11*12,356,"")</f>
        <v/>
      </c>
      <c r="B385" s="28" t="str">
        <f aca="true">IF(356&lt;=$B$11*12,DATE(YEAR(TODAY()),MONTH(TODAY())+356,1),"")</f>
        <v/>
      </c>
      <c r="C385" s="29" t="str">
        <f aca="false">IF(356&lt;=$B$11*12,G384,"")</f>
        <v/>
      </c>
      <c r="D385" s="29" t="str">
        <f aca="false">IF(AND(356&lt;=$B$11*12,G384&gt;0),MIN($B$22,C385*(1+$B$18)),"")</f>
        <v/>
      </c>
      <c r="E385" s="29" t="str">
        <f aca="false">IF(AND(356&lt;=$B$11*12,G384&gt;0),C385*$B$18,"")</f>
        <v/>
      </c>
      <c r="F385" s="29" t="str">
        <f aca="false">IF(AND(356&lt;=$B$11*12,G384&gt;0),D385-E385,"")</f>
        <v/>
      </c>
      <c r="G385" s="29" t="str">
        <f aca="false">IF(AND(356&lt;=$B$11*12,G384&gt;0),MAX(C385-F385,0),"")</f>
        <v/>
      </c>
    </row>
    <row r="386" customFormat="false" ht="15" hidden="false" customHeight="false" outlineLevel="0" collapsed="false">
      <c r="A386" s="24" t="str">
        <f aca="false">IF(357&lt;=$B$11*12,357,"")</f>
        <v/>
      </c>
      <c r="B386" s="25" t="str">
        <f aca="true">IF(357&lt;=$B$11*12,DATE(YEAR(TODAY()),MONTH(TODAY())+357,1),"")</f>
        <v/>
      </c>
      <c r="C386" s="26" t="str">
        <f aca="false">IF(357&lt;=$B$11*12,G385,"")</f>
        <v/>
      </c>
      <c r="D386" s="26" t="str">
        <f aca="false">IF(AND(357&lt;=$B$11*12,G385&gt;0),MIN($B$22,C386*(1+$B$18)),"")</f>
        <v/>
      </c>
      <c r="E386" s="26" t="str">
        <f aca="false">IF(AND(357&lt;=$B$11*12,G385&gt;0),C386*$B$18,"")</f>
        <v/>
      </c>
      <c r="F386" s="26" t="str">
        <f aca="false">IF(AND(357&lt;=$B$11*12,G385&gt;0),D386-E386,"")</f>
        <v/>
      </c>
      <c r="G386" s="26" t="str">
        <f aca="false">IF(AND(357&lt;=$B$11*12,G385&gt;0),MAX(C386-F386,0),"")</f>
        <v/>
      </c>
    </row>
    <row r="387" customFormat="false" ht="15" hidden="false" customHeight="false" outlineLevel="0" collapsed="false">
      <c r="A387" s="27" t="str">
        <f aca="false">IF(358&lt;=$B$11*12,358,"")</f>
        <v/>
      </c>
      <c r="B387" s="28" t="str">
        <f aca="true">IF(358&lt;=$B$11*12,DATE(YEAR(TODAY()),MONTH(TODAY())+358,1),"")</f>
        <v/>
      </c>
      <c r="C387" s="29" t="str">
        <f aca="false">IF(358&lt;=$B$11*12,G386,"")</f>
        <v/>
      </c>
      <c r="D387" s="29" t="str">
        <f aca="false">IF(AND(358&lt;=$B$11*12,G386&gt;0),MIN($B$22,C387*(1+$B$18)),"")</f>
        <v/>
      </c>
      <c r="E387" s="29" t="str">
        <f aca="false">IF(AND(358&lt;=$B$11*12,G386&gt;0),C387*$B$18,"")</f>
        <v/>
      </c>
      <c r="F387" s="29" t="str">
        <f aca="false">IF(AND(358&lt;=$B$11*12,G386&gt;0),D387-E387,"")</f>
        <v/>
      </c>
      <c r="G387" s="29" t="str">
        <f aca="false">IF(AND(358&lt;=$B$11*12,G386&gt;0),MAX(C387-F387,0),"")</f>
        <v/>
      </c>
    </row>
    <row r="388" customFormat="false" ht="15" hidden="false" customHeight="false" outlineLevel="0" collapsed="false">
      <c r="A388" s="24" t="str">
        <f aca="false">IF(359&lt;=$B$11*12,359,"")</f>
        <v/>
      </c>
      <c r="B388" s="25" t="str">
        <f aca="true">IF(359&lt;=$B$11*12,DATE(YEAR(TODAY()),MONTH(TODAY())+359,1),"")</f>
        <v/>
      </c>
      <c r="C388" s="26" t="str">
        <f aca="false">IF(359&lt;=$B$11*12,G387,"")</f>
        <v/>
      </c>
      <c r="D388" s="26" t="str">
        <f aca="false">IF(AND(359&lt;=$B$11*12,G387&gt;0),MIN($B$22,C388*(1+$B$18)),"")</f>
        <v/>
      </c>
      <c r="E388" s="26" t="str">
        <f aca="false">IF(AND(359&lt;=$B$11*12,G387&gt;0),C388*$B$18,"")</f>
        <v/>
      </c>
      <c r="F388" s="26" t="str">
        <f aca="false">IF(AND(359&lt;=$B$11*12,G387&gt;0),D388-E388,"")</f>
        <v/>
      </c>
      <c r="G388" s="26" t="str">
        <f aca="false">IF(AND(359&lt;=$B$11*12,G387&gt;0),MAX(C388-F388,0),"")</f>
        <v/>
      </c>
    </row>
    <row r="389" customFormat="false" ht="15" hidden="false" customHeight="false" outlineLevel="0" collapsed="false">
      <c r="A389" s="27" t="str">
        <f aca="false">IF(360&lt;=$B$11*12,360,"")</f>
        <v/>
      </c>
      <c r="B389" s="28" t="str">
        <f aca="true">IF(360&lt;=$B$11*12,DATE(YEAR(TODAY()),MONTH(TODAY())+360,1),"")</f>
        <v/>
      </c>
      <c r="C389" s="29" t="str">
        <f aca="false">IF(360&lt;=$B$11*12,G388,"")</f>
        <v/>
      </c>
      <c r="D389" s="29" t="str">
        <f aca="false">IF(AND(360&lt;=$B$11*12,G388&gt;0),MIN($B$22,C389*(1+$B$18)),"")</f>
        <v/>
      </c>
      <c r="E389" s="29" t="str">
        <f aca="false">IF(AND(360&lt;=$B$11*12,G388&gt;0),C389*$B$18,"")</f>
        <v/>
      </c>
      <c r="F389" s="29" t="str">
        <f aca="false">IF(AND(360&lt;=$B$11*12,G388&gt;0),D389-E389,"")</f>
        <v/>
      </c>
      <c r="G389" s="29" t="str">
        <f aca="false">IF(AND(360&lt;=$B$11*12,G388&gt;0),MAX(C389-F389,0),"")</f>
        <v/>
      </c>
    </row>
    <row r="392" customFormat="false" ht="18" hidden="false" customHeight="true" outlineLevel="0" collapsed="false">
      <c r="A392" s="30" t="s">
        <v>31</v>
      </c>
      <c r="B392" s="30"/>
      <c r="C392" s="30"/>
      <c r="D392" s="30"/>
      <c r="E392" s="30"/>
      <c r="F392" s="30"/>
      <c r="G392" s="30"/>
    </row>
  </sheetData>
  <mergeCells count="12">
    <mergeCell ref="A1:B1"/>
    <mergeCell ref="A2:B2"/>
    <mergeCell ref="A3:B3"/>
    <mergeCell ref="A4:B4"/>
    <mergeCell ref="A5:B5"/>
    <mergeCell ref="A7:B7"/>
    <mergeCell ref="A14:B14"/>
    <mergeCell ref="A21:B21"/>
    <mergeCell ref="A25:B25"/>
    <mergeCell ref="A26:B26"/>
    <mergeCell ref="A28:G28"/>
    <mergeCell ref="A392:G392"/>
  </mergeCells>
  <dataValidations count="1">
    <dataValidation allowBlank="false" errorStyle="stop" operator="between" showDropDown="false" showErrorMessage="false" showInputMessage="false" sqref="B12" type="list">
      <formula1>"Monthly,Bi-Weekly,Accelerated Bi-Weekly"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2026-04-14T17:39:21Z</dcterms:created>
  <dc:creator>openpyxl</dc:creator>
  <dc:description/>
  <dc:language>en-US</dc:language>
  <cp:lastModifiedBy/>
  <dcterms:modified xsi:type="dcterms:W3CDTF">2026-04-14T17:39:21Z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